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260" windowWidth="11595" windowHeight="8700" activeTab="0"/>
  </bookViews>
  <sheets>
    <sheet name="datos" sheetId="1" r:id="rId1"/>
    <sheet name="Condensación" sheetId="2" r:id="rId2"/>
  </sheets>
  <definedNames/>
  <calcPr fullCalcOnLoad="1"/>
</workbook>
</file>

<file path=xl/sharedStrings.xml><?xml version="1.0" encoding="utf-8"?>
<sst xmlns="http://schemas.openxmlformats.org/spreadsheetml/2006/main" count="219" uniqueCount="148">
  <si>
    <t>m2K/W</t>
  </si>
  <si>
    <t>W/m2K</t>
  </si>
  <si>
    <t>Curva de Saturación</t>
  </si>
  <si>
    <t>Psat</t>
  </si>
  <si>
    <t>θ</t>
  </si>
  <si>
    <t xml:space="preserve">El muro de fachada verifica que su transmitancia térmica esta por debajo de los límites establecidos por las normativas, </t>
  </si>
  <si>
    <t>para t &gt; 0º</t>
  </si>
  <si>
    <t>para t &lt; 0º</t>
  </si>
  <si>
    <r>
      <t xml:space="preserve">   237,3 + </t>
    </r>
    <r>
      <rPr>
        <b/>
        <sz val="10"/>
        <rFont val="Arial"/>
        <family val="0"/>
      </rPr>
      <t>θ</t>
    </r>
  </si>
  <si>
    <r>
      <t xml:space="preserve">   265,5 + </t>
    </r>
    <r>
      <rPr>
        <b/>
        <sz val="10"/>
        <rFont val="Arial"/>
        <family val="0"/>
      </rPr>
      <t>θ</t>
    </r>
  </si>
  <si>
    <r>
      <t>P</t>
    </r>
    <r>
      <rPr>
        <b/>
        <sz val="10"/>
        <rFont val="Arial"/>
        <family val="2"/>
      </rPr>
      <t>sat =</t>
    </r>
  </si>
  <si>
    <t xml:space="preserve">Psat </t>
  </si>
  <si>
    <t>ºC</t>
  </si>
  <si>
    <t>6,105   *   e</t>
  </si>
  <si>
    <t xml:space="preserve">   17,269 * θ</t>
  </si>
  <si>
    <t xml:space="preserve">   21,875 * θ</t>
  </si>
  <si>
    <t>Pa</t>
  </si>
  <si>
    <t>Pe</t>
  </si>
  <si>
    <t>HR med</t>
  </si>
  <si>
    <t>%</t>
  </si>
  <si>
    <t>Psat,loc</t>
  </si>
  <si>
    <r>
      <t>Φ</t>
    </r>
    <r>
      <rPr>
        <b/>
        <sz val="10"/>
        <rFont val="Arial"/>
        <family val="2"/>
      </rPr>
      <t>e,loc</t>
    </r>
  </si>
  <si>
    <t xml:space="preserve">Para el cálculo de condensaciones superficiales se tomará una temperatura interior igual a </t>
  </si>
  <si>
    <t>Φi</t>
  </si>
  <si>
    <r>
      <t>Psat(</t>
    </r>
    <r>
      <rPr>
        <b/>
        <sz val="10"/>
        <rFont val="Arial"/>
        <family val="0"/>
      </rPr>
      <t>θ</t>
    </r>
    <r>
      <rPr>
        <b/>
        <sz val="10"/>
        <rFont val="Arial"/>
        <family val="2"/>
      </rPr>
      <t>si)</t>
    </r>
  </si>
  <si>
    <t>Pi</t>
  </si>
  <si>
    <t>para clase de higrometría 5 con HR 70%</t>
  </si>
  <si>
    <r>
      <t xml:space="preserve">espesor 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Hº</t>
    </r>
  </si>
  <si>
    <t>mm</t>
  </si>
  <si>
    <t>espesor EPS</t>
  </si>
  <si>
    <t>Sd1</t>
  </si>
  <si>
    <t>Sd2</t>
  </si>
  <si>
    <t>Sd3</t>
  </si>
  <si>
    <t>Rse</t>
  </si>
  <si>
    <t>Rsi</t>
  </si>
  <si>
    <t>µ</t>
  </si>
  <si>
    <t>λ</t>
  </si>
  <si>
    <r>
      <t>R</t>
    </r>
    <r>
      <rPr>
        <b/>
        <sz val="8"/>
        <rFont val="Arial"/>
        <family val="2"/>
      </rPr>
      <t>T</t>
    </r>
  </si>
  <si>
    <t>R</t>
  </si>
  <si>
    <r>
      <t>U</t>
    </r>
    <r>
      <rPr>
        <b/>
        <sz val="8"/>
        <rFont val="Arial"/>
        <family val="2"/>
      </rPr>
      <t>T</t>
    </r>
  </si>
  <si>
    <r>
      <t>θ</t>
    </r>
    <r>
      <rPr>
        <b/>
        <sz val="10"/>
        <rFont val="Arial"/>
        <family val="2"/>
      </rPr>
      <t>si,min</t>
    </r>
  </si>
  <si>
    <t>&gt;</t>
  </si>
  <si>
    <r>
      <t>f</t>
    </r>
    <r>
      <rPr>
        <b/>
        <sz val="10"/>
        <rFont val="Arial"/>
        <family val="0"/>
      </rPr>
      <t>R</t>
    </r>
    <r>
      <rPr>
        <b/>
        <sz val="8"/>
        <rFont val="Arial"/>
        <family val="2"/>
      </rPr>
      <t>si</t>
    </r>
  </si>
  <si>
    <r>
      <t>f</t>
    </r>
    <r>
      <rPr>
        <b/>
        <sz val="10"/>
        <rFont val="Arial"/>
        <family val="0"/>
      </rPr>
      <t>R</t>
    </r>
    <r>
      <rPr>
        <b/>
        <sz val="8"/>
        <rFont val="Arial"/>
        <family val="2"/>
      </rPr>
      <t>si,min</t>
    </r>
  </si>
  <si>
    <r>
      <t>f</t>
    </r>
    <r>
      <rPr>
        <b/>
        <sz val="10"/>
        <rFont val="Arial"/>
        <family val="0"/>
      </rPr>
      <t>R</t>
    </r>
    <r>
      <rPr>
        <b/>
        <sz val="8"/>
        <rFont val="Arial"/>
        <family val="2"/>
      </rPr>
      <t xml:space="preserve">si &gt; </t>
    </r>
    <r>
      <rPr>
        <b/>
        <sz val="14"/>
        <rFont val="Arial"/>
        <family val="2"/>
      </rPr>
      <t>f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si,min</t>
    </r>
  </si>
  <si>
    <t>CONDENSACIONES SUPERFICIALES</t>
  </si>
  <si>
    <t>CONDENSACIONES INTERSTICIALES</t>
  </si>
  <si>
    <t>PN</t>
  </si>
  <si>
    <t>ALBACETE</t>
  </si>
  <si>
    <t>ALICANTE</t>
  </si>
  <si>
    <t>ALMERIA</t>
  </si>
  <si>
    <t>ÁVILA</t>
  </si>
  <si>
    <t>BADAJOZ</t>
  </si>
  <si>
    <t>BARCELONA</t>
  </si>
  <si>
    <t>BILBAO</t>
  </si>
  <si>
    <t>BURGOS</t>
  </si>
  <si>
    <t>CÁCERES</t>
  </si>
  <si>
    <t>CADIZ</t>
  </si>
  <si>
    <t>CEUTA</t>
  </si>
  <si>
    <t>CIUDAD REAL</t>
  </si>
  <si>
    <t>CÓRDOBA</t>
  </si>
  <si>
    <t>CORUÑA</t>
  </si>
  <si>
    <t>CUENCA</t>
  </si>
  <si>
    <t>DONOSTIA-SAN SEBASTIÁN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</si>
  <si>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</si>
  <si>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</si>
  <si>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</si>
  <si>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</si>
  <si>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</si>
  <si>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</si>
  <si>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</si>
  <si>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</si>
  <si>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</si>
  <si>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</si>
  <si>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MADRID</t>
  </si>
  <si>
    <t>MÁLAGA</t>
  </si>
  <si>
    <t>MELILLA</t>
  </si>
  <si>
    <t>MURCIA</t>
  </si>
  <si>
    <t>OURENSE</t>
  </si>
  <si>
    <t>OVIEDO</t>
  </si>
  <si>
    <t>PALENCIA</t>
  </si>
  <si>
    <t>PALMA DE MALLORCA</t>
  </si>
  <si>
    <t>PALMAS DE GRAN CANARIA</t>
  </si>
  <si>
    <t>PAMPLONA</t>
  </si>
  <si>
    <t>PONTEVEDRA</t>
  </si>
  <si>
    <t>SALAMANCA</t>
  </si>
  <si>
    <t>SANTA CRUZ DE TENERIFE</t>
  </si>
  <si>
    <t>SANTANDER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</si>
  <si>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</si>
  <si>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</si>
  <si>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</si>
  <si>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</si>
  <si>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</si>
  <si>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</si>
  <si>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</si>
  <si>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</si>
  <si>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VITORIA-GASTEIZ</t>
  </si>
  <si>
    <t>ZAMORA</t>
  </si>
  <si>
    <t>ZARAGOZA</t>
  </si>
  <si>
    <t>D3</t>
  </si>
  <si>
    <t>B4</t>
  </si>
  <si>
    <t>A4</t>
  </si>
  <si>
    <t>E1</t>
  </si>
  <si>
    <t>C4</t>
  </si>
  <si>
    <t>C2</t>
  </si>
  <si>
    <t>C1</t>
  </si>
  <si>
    <t>A3</t>
  </si>
  <si>
    <t>B3</t>
  </si>
  <si>
    <t>D2</t>
  </si>
  <si>
    <t>C3</t>
  </si>
  <si>
    <t>D1</t>
  </si>
  <si>
    <t>CASTELLÓN DE LA PLANA</t>
  </si>
  <si>
    <t>ZC</t>
  </si>
  <si>
    <t>ESCRIBA CAPITAL DE PROVINCIA</t>
  </si>
  <si>
    <t>ESCRIBA TIPO DE PANEL Y ESPESOR EN mm</t>
  </si>
  <si>
    <t>ESCRIBA DIFERENCIA ALTURA LOCALIZACIÓN RESPECTO CAPITAL DE PROVINCIA EN m</t>
  </si>
  <si>
    <t>quedando un</t>
  </si>
  <si>
    <t>DIFERENCIA POR ALTURA</t>
  </si>
  <si>
    <t>TEMPERATURA DISEÑO INTERIOR</t>
  </si>
  <si>
    <t>TEMPERATURA EXTERIOR MES ENERO</t>
  </si>
  <si>
    <t>HUMEDAD RELATIVA EXTERIOR MES ENERO</t>
  </si>
  <si>
    <t>PRESIÓN DE SATURACIÓN</t>
  </si>
  <si>
    <t>PRESIÓN DE VAPOR</t>
  </si>
  <si>
    <t>FACTOR DE TEMPERATURA SUP. INTERIOR</t>
  </si>
  <si>
    <t>FACTOR DE TEMPERATURA SUP. INT. MÍNIMO</t>
  </si>
  <si>
    <t>TEMPERATURA SUPERFICIAL INTERIOR</t>
  </si>
  <si>
    <t>TEMPERATURA SUPERFICIAL INTERIOR MÍN.</t>
  </si>
  <si>
    <r>
      <t>θ</t>
    </r>
    <r>
      <rPr>
        <b/>
        <sz val="10"/>
        <rFont val="Arial"/>
        <family val="2"/>
      </rPr>
      <t>si</t>
    </r>
  </si>
  <si>
    <t>CLASE DE HIGROMETRÍA DEL ESPACIO</t>
  </si>
  <si>
    <t>HUMEDAD RELATIVA LOCAL</t>
  </si>
  <si>
    <t>PRESIÓN DE SATURACIÓN LOCAL</t>
  </si>
  <si>
    <r>
      <t>θ</t>
    </r>
    <r>
      <rPr>
        <b/>
        <sz val="10"/>
        <rFont val="Arial"/>
        <family val="2"/>
      </rPr>
      <t>si,min  &gt;</t>
    </r>
  </si>
  <si>
    <t>VERIFICACIÓN PARA CLASE DE HIGROMETRÍA 5</t>
  </si>
  <si>
    <t>SEGÚN DOCUMENTO BASICO HE AHORO DE ENERGÍA CORRESPONDE ZONA CLIMÁTICA</t>
  </si>
  <si>
    <t>TRANSMITANCIA MURO FACHADA MK2</t>
  </si>
  <si>
    <t>por debajo del límite indicado por el DB HE</t>
  </si>
  <si>
    <r>
      <t>U</t>
    </r>
    <r>
      <rPr>
        <b/>
        <sz val="8"/>
        <rFont val="Arial"/>
        <family val="2"/>
      </rPr>
      <t>LIM</t>
    </r>
  </si>
  <si>
    <r>
      <t>U</t>
    </r>
    <r>
      <rPr>
        <b/>
        <sz val="8"/>
        <rFont val="Arial"/>
        <family val="2"/>
      </rPr>
      <t>MK2</t>
    </r>
  </si>
  <si>
    <r>
      <t>TRANSMITANCIA LÍMITE</t>
    </r>
    <r>
      <rPr>
        <b/>
        <sz val="8"/>
        <rFont val="Arial"/>
        <family val="2"/>
      </rPr>
      <t xml:space="preserve"> SEGÚN ZONA CLIMÁTICA</t>
    </r>
  </si>
  <si>
    <t>MK2</t>
  </si>
  <si>
    <t>μHº GUNITADO</t>
  </si>
  <si>
    <t>x</t>
  </si>
  <si>
    <r>
      <t xml:space="preserve">por lo tanto </t>
    </r>
    <r>
      <rPr>
        <b/>
        <sz val="8"/>
        <rFont val="Arial"/>
        <family val="2"/>
      </rPr>
      <t>CUMPLE CONDICIÓN</t>
    </r>
  </si>
  <si>
    <t>Alt.ref.(m)</t>
  </si>
  <si>
    <t xml:space="preserve">CIUDAD  </t>
  </si>
  <si>
    <r>
      <t>U</t>
    </r>
    <r>
      <rPr>
        <b/>
        <sz val="8"/>
        <color indexed="9"/>
        <rFont val="Arial"/>
        <family val="2"/>
      </rPr>
      <t>LIM</t>
    </r>
  </si>
  <si>
    <r>
      <t>T</t>
    </r>
    <r>
      <rPr>
        <b/>
        <sz val="8"/>
        <color indexed="9"/>
        <rFont val="Arial"/>
        <family val="2"/>
      </rPr>
      <t>media ene</t>
    </r>
  </si>
  <si>
    <r>
      <t>HR</t>
    </r>
    <r>
      <rPr>
        <b/>
        <sz val="8"/>
        <color indexed="9"/>
        <rFont val="Arial"/>
        <family val="2"/>
      </rPr>
      <t>media ene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</si>
</sst>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0000000"/>
    <numFmt numFmtId="183" formatCode="0.0%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10.75"/>
      <name val="Arial"/>
      <family val="0"/>
    </font>
    <font>
      <sz val="10.25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6" fillId="4" borderId="0" xfId="0" applyNumberFormat="1" applyFont="1" applyFill="1" applyAlignment="1">
      <alignment/>
    </xf>
    <xf numFmtId="2" fontId="6" fillId="5" borderId="0" xfId="0" applyNumberFormat="1" applyFont="1" applyFill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Alignment="1">
      <alignment/>
    </xf>
    <xf numFmtId="183" fontId="2" fillId="0" borderId="0" xfId="2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5" fontId="3" fillId="0" borderId="0" xfId="0" applyNumberFormat="1" applyFont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Border="1" applyAlignment="1">
      <alignment/>
    </xf>
    <xf numFmtId="177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9" fontId="13" fillId="0" borderId="0" xfId="2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6" borderId="12" xfId="0" applyFont="1" applyFill="1" applyBorder="1" applyAlignment="1">
      <alignment/>
    </xf>
    <xf numFmtId="0" fontId="9" fillId="6" borderId="12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1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9" fontId="3" fillId="0" borderId="0" xfId="21" applyFont="1" applyBorder="1" applyAlignment="1">
      <alignment horizontal="right"/>
    </xf>
    <xf numFmtId="0" fontId="4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2" fontId="10" fillId="0" borderId="8" xfId="0" applyNumberFormat="1" applyFont="1" applyFill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2" fontId="10" fillId="0" borderId="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75" fontId="8" fillId="0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183" fontId="3" fillId="0" borderId="1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21" fillId="8" borderId="25" xfId="0" applyFont="1" applyFill="1" applyBorder="1" applyAlignment="1">
      <alignment horizontal="center"/>
    </xf>
    <xf numFmtId="0" fontId="21" fillId="8" borderId="26" xfId="0" applyFont="1" applyFill="1" applyBorder="1" applyAlignment="1">
      <alignment horizontal="center"/>
    </xf>
    <xf numFmtId="0" fontId="21" fillId="8" borderId="26" xfId="0" applyFont="1" applyFill="1" applyBorder="1" applyAlignment="1">
      <alignment/>
    </xf>
    <xf numFmtId="0" fontId="21" fillId="8" borderId="2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"/>
          <c:w val="0.9362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v>PRESIÓN DE SATURACIÓN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0" sourceLinked="0"/>
            <c:txPr>
              <a:bodyPr vert="horz" rot="0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Condensación!$B$113:$B$116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14</c:v>
                </c:pt>
              </c:numCache>
            </c:numRef>
          </c:xVal>
          <c:yVal>
            <c:numRef>
              <c:f>Condensación!$C$113:$C$116</c:f>
              <c:numCache>
                <c:ptCount val="4"/>
                <c:pt idx="0">
                  <c:v>2212.964151479635</c:v>
                </c:pt>
                <c:pt idx="1">
                  <c:v>2197.4923066517454</c:v>
                </c:pt>
                <c:pt idx="2">
                  <c:v>756.4490310976056</c:v>
                </c:pt>
                <c:pt idx="3">
                  <c:v>750.4287619539265</c:v>
                </c:pt>
              </c:numCache>
            </c:numRef>
          </c:yVal>
          <c:smooth val="0"/>
        </c:ser>
        <c:ser>
          <c:idx val="1"/>
          <c:order val="1"/>
          <c:tx>
            <c:v>PRESIÓN DE VAPOR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0" sourceLinked="0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Condensación!$B$113:$B$116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14</c:v>
                </c:pt>
              </c:numCache>
            </c:numRef>
          </c:xVal>
          <c:yVal>
            <c:numRef>
              <c:f>Condensación!$D$113:$D$116</c:f>
              <c:numCache>
                <c:ptCount val="4"/>
                <c:pt idx="0">
                  <c:v>1635.8658006616395</c:v>
                </c:pt>
                <c:pt idx="1">
                  <c:v>1556.6993714447458</c:v>
                </c:pt>
                <c:pt idx="2">
                  <c:v>712.257459797879</c:v>
                </c:pt>
                <c:pt idx="3">
                  <c:v>633.0910305809853</c:v>
                </c:pt>
              </c:numCache>
            </c:numRef>
          </c:yVal>
          <c:smooth val="0"/>
        </c:ser>
        <c:axId val="43470851"/>
        <c:axId val="55693340"/>
      </c:scatterChart>
      <c:valAx>
        <c:axId val="4347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693340"/>
        <c:crosses val="autoZero"/>
        <c:crossBetween val="midCat"/>
        <c:dispUnits/>
        <c:majorUnit val="1"/>
      </c:valAx>
      <c:valAx>
        <c:axId val="5569334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one"/>
        <c:crossAx val="434708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91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225"/>
          <c:h val="1"/>
        </c:manualLayout>
      </c:layout>
      <c:scatterChart>
        <c:scatterStyle val="lineMarker"/>
        <c:varyColors val="0"/>
        <c:ser>
          <c:idx val="0"/>
          <c:order val="0"/>
          <c:tx>
            <c:v>TEMPERATURA DE BULBO SECO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Condensación!$B$112:$B$117</c:f>
              <c:numCache>
                <c:ptCount val="6"/>
                <c:pt idx="0">
                  <c:v>-1</c:v>
                </c:pt>
                <c:pt idx="1">
                  <c:v>0</c:v>
                </c:pt>
                <c:pt idx="2">
                  <c:v>3</c:v>
                </c:pt>
                <c:pt idx="3">
                  <c:v>11</c:v>
                </c:pt>
                <c:pt idx="4">
                  <c:v>14</c:v>
                </c:pt>
                <c:pt idx="5">
                  <c:v>15</c:v>
                </c:pt>
              </c:numCache>
            </c:numRef>
          </c:xVal>
          <c:yVal>
            <c:numRef>
              <c:f>Condensación!$E$112:$E$117</c:f>
              <c:numCache>
                <c:ptCount val="6"/>
                <c:pt idx="0">
                  <c:v>20.000000000000004</c:v>
                </c:pt>
                <c:pt idx="1">
                  <c:v>19.122310281435542</c:v>
                </c:pt>
                <c:pt idx="2">
                  <c:v>19.00978595854266</c:v>
                </c:pt>
                <c:pt idx="3">
                  <c:v>2.9825826978357903</c:v>
                </c:pt>
                <c:pt idx="4">
                  <c:v>2.8700583749429107</c:v>
                </c:pt>
                <c:pt idx="5">
                  <c:v>2.6</c:v>
                </c:pt>
              </c:numCache>
            </c:numRef>
          </c:yVal>
          <c:smooth val="0"/>
        </c:ser>
        <c:axId val="31478013"/>
        <c:axId val="14866662"/>
      </c:scatterChart>
      <c:valAx>
        <c:axId val="3147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866662"/>
        <c:crosses val="autoZero"/>
        <c:crossBetween val="midCat"/>
        <c:dispUnits/>
        <c:majorUnit val="1"/>
      </c:valAx>
      <c:valAx>
        <c:axId val="14866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one"/>
        <c:crossAx val="31478013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0</xdr:rowOff>
    </xdr:from>
    <xdr:to>
      <xdr:col>5</xdr:col>
      <xdr:colOff>371475</xdr:colOff>
      <xdr:row>18</xdr:row>
      <xdr:rowOff>0</xdr:rowOff>
    </xdr:to>
    <xdr:sp>
      <xdr:nvSpPr>
        <xdr:cNvPr id="1" name="Line 13"/>
        <xdr:cNvSpPr>
          <a:spLocks/>
        </xdr:cNvSpPr>
      </xdr:nvSpPr>
      <xdr:spPr>
        <a:xfrm>
          <a:off x="1457325" y="35147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" name="Line 14"/>
        <xdr:cNvSpPr>
          <a:spLocks/>
        </xdr:cNvSpPr>
      </xdr:nvSpPr>
      <xdr:spPr>
        <a:xfrm>
          <a:off x="2590800" y="35147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16</xdr:col>
      <xdr:colOff>381000</xdr:colOff>
      <xdr:row>18</xdr:row>
      <xdr:rowOff>9525</xdr:rowOff>
    </xdr:to>
    <xdr:sp>
      <xdr:nvSpPr>
        <xdr:cNvPr id="3" name="Line 15"/>
        <xdr:cNvSpPr>
          <a:spLocks/>
        </xdr:cNvSpPr>
      </xdr:nvSpPr>
      <xdr:spPr>
        <a:xfrm>
          <a:off x="5638800" y="35242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17</xdr:col>
      <xdr:colOff>0</xdr:colOff>
      <xdr:row>20</xdr:row>
      <xdr:rowOff>9525</xdr:rowOff>
    </xdr:to>
    <xdr:sp>
      <xdr:nvSpPr>
        <xdr:cNvPr id="4" name="Line 16"/>
        <xdr:cNvSpPr>
          <a:spLocks/>
        </xdr:cNvSpPr>
      </xdr:nvSpPr>
      <xdr:spPr>
        <a:xfrm>
          <a:off x="1457325" y="37814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0</xdr:rowOff>
    </xdr:from>
    <xdr:to>
      <xdr:col>18</xdr:col>
      <xdr:colOff>19050</xdr:colOff>
      <xdr:row>42</xdr:row>
      <xdr:rowOff>57150</xdr:rowOff>
    </xdr:to>
    <xdr:graphicFrame>
      <xdr:nvGraphicFramePr>
        <xdr:cNvPr id="5" name="Chart 17"/>
        <xdr:cNvGraphicFramePr/>
      </xdr:nvGraphicFramePr>
      <xdr:xfrm>
        <a:off x="923925" y="4095750"/>
        <a:ext cx="63627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44</xdr:row>
      <xdr:rowOff>38100</xdr:rowOff>
    </xdr:from>
    <xdr:to>
      <xdr:col>19</xdr:col>
      <xdr:colOff>247650</xdr:colOff>
      <xdr:row>64</xdr:row>
      <xdr:rowOff>133350</xdr:rowOff>
    </xdr:to>
    <xdr:graphicFrame>
      <xdr:nvGraphicFramePr>
        <xdr:cNvPr id="6" name="Chart 18"/>
        <xdr:cNvGraphicFramePr/>
      </xdr:nvGraphicFramePr>
      <xdr:xfrm>
        <a:off x="228600" y="7696200"/>
        <a:ext cx="74580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workbookViewId="0" topLeftCell="A1">
      <selection activeCell="K8" sqref="K8"/>
    </sheetView>
  </sheetViews>
  <sheetFormatPr defaultColWidth="11.421875" defaultRowHeight="12.75"/>
  <cols>
    <col min="1" max="1" width="26.8515625" style="0" customWidth="1"/>
    <col min="2" max="2" width="4.57421875" style="0" customWidth="1"/>
    <col min="3" max="3" width="9.140625" style="0" customWidth="1"/>
    <col min="4" max="4" width="8.140625" style="0" customWidth="1"/>
    <col min="5" max="5" width="12.140625" style="0" customWidth="1"/>
    <col min="6" max="6" width="13.421875" style="0" customWidth="1"/>
  </cols>
  <sheetData>
    <row r="1" ht="13.5" thickBot="1"/>
    <row r="2" spans="1:6" ht="12.75">
      <c r="A2" s="141" t="s">
        <v>144</v>
      </c>
      <c r="B2" s="142" t="s">
        <v>112</v>
      </c>
      <c r="C2" s="143" t="s">
        <v>143</v>
      </c>
      <c r="D2" s="142" t="s">
        <v>145</v>
      </c>
      <c r="E2" s="142" t="s">
        <v>146</v>
      </c>
      <c r="F2" s="144" t="s">
        <v>147</v>
      </c>
    </row>
    <row r="3" spans="1:6" ht="12.75">
      <c r="A3" s="135" t="s">
        <v>48</v>
      </c>
      <c r="B3" s="136" t="s">
        <v>99</v>
      </c>
      <c r="C3" s="136">
        <v>677</v>
      </c>
      <c r="D3" s="136">
        <v>0.66</v>
      </c>
      <c r="E3" s="136">
        <v>5</v>
      </c>
      <c r="F3" s="137">
        <v>78</v>
      </c>
    </row>
    <row r="4" spans="1:6" ht="12.75">
      <c r="A4" s="135" t="s">
        <v>49</v>
      </c>
      <c r="B4" s="136" t="s">
        <v>100</v>
      </c>
      <c r="C4" s="136">
        <v>7</v>
      </c>
      <c r="D4" s="136">
        <v>0.82</v>
      </c>
      <c r="E4" s="136">
        <v>11.6</v>
      </c>
      <c r="F4" s="137">
        <v>67</v>
      </c>
    </row>
    <row r="5" spans="1:6" ht="12.75">
      <c r="A5" s="135" t="s">
        <v>50</v>
      </c>
      <c r="B5" s="136" t="s">
        <v>101</v>
      </c>
      <c r="C5" s="136">
        <v>0</v>
      </c>
      <c r="D5" s="136">
        <v>0.94</v>
      </c>
      <c r="E5" s="136">
        <v>12.4</v>
      </c>
      <c r="F5" s="137">
        <v>70</v>
      </c>
    </row>
    <row r="6" spans="1:6" ht="12.75">
      <c r="A6" s="135" t="s">
        <v>51</v>
      </c>
      <c r="B6" s="136" t="s">
        <v>102</v>
      </c>
      <c r="C6" s="136">
        <v>1054</v>
      </c>
      <c r="D6" s="136">
        <v>0.57</v>
      </c>
      <c r="E6" s="136">
        <v>3.1</v>
      </c>
      <c r="F6" s="137">
        <v>75</v>
      </c>
    </row>
    <row r="7" spans="1:6" ht="12.75">
      <c r="A7" s="135" t="s">
        <v>52</v>
      </c>
      <c r="B7" s="136" t="s">
        <v>103</v>
      </c>
      <c r="C7" s="136">
        <v>168</v>
      </c>
      <c r="D7" s="136">
        <v>0.73</v>
      </c>
      <c r="E7" s="136">
        <v>8.7</v>
      </c>
      <c r="F7" s="137">
        <v>80</v>
      </c>
    </row>
    <row r="8" spans="1:6" ht="12.75">
      <c r="A8" s="135" t="s">
        <v>53</v>
      </c>
      <c r="B8" s="136" t="s">
        <v>104</v>
      </c>
      <c r="C8" s="136">
        <v>1</v>
      </c>
      <c r="D8" s="136">
        <v>0.73</v>
      </c>
      <c r="E8" s="136">
        <v>8.8</v>
      </c>
      <c r="F8" s="137">
        <v>73</v>
      </c>
    </row>
    <row r="9" spans="1:6" ht="12.75">
      <c r="A9" s="135" t="s">
        <v>54</v>
      </c>
      <c r="B9" s="136" t="s">
        <v>105</v>
      </c>
      <c r="C9" s="136">
        <v>214</v>
      </c>
      <c r="D9" s="136">
        <v>0.73</v>
      </c>
      <c r="E9" s="136">
        <v>8.9</v>
      </c>
      <c r="F9" s="137">
        <v>73</v>
      </c>
    </row>
    <row r="10" spans="1:6" ht="12.75">
      <c r="A10" s="135" t="s">
        <v>55</v>
      </c>
      <c r="B10" s="136" t="s">
        <v>102</v>
      </c>
      <c r="C10" s="136">
        <v>861</v>
      </c>
      <c r="D10" s="136">
        <v>0.57</v>
      </c>
      <c r="E10" s="136">
        <v>2.6</v>
      </c>
      <c r="F10" s="137">
        <v>86</v>
      </c>
    </row>
    <row r="11" spans="1:6" ht="12.75">
      <c r="A11" s="135" t="s">
        <v>56</v>
      </c>
      <c r="B11" s="136" t="s">
        <v>103</v>
      </c>
      <c r="C11" s="136">
        <v>385</v>
      </c>
      <c r="D11" s="136">
        <v>0.73</v>
      </c>
      <c r="E11" s="136">
        <v>7.8</v>
      </c>
      <c r="F11" s="137">
        <v>55</v>
      </c>
    </row>
    <row r="12" spans="1:6" ht="12.75">
      <c r="A12" s="135" t="s">
        <v>57</v>
      </c>
      <c r="B12" s="136" t="s">
        <v>106</v>
      </c>
      <c r="C12" s="136">
        <v>0</v>
      </c>
      <c r="D12" s="136">
        <v>0.94</v>
      </c>
      <c r="E12" s="136">
        <v>12.8</v>
      </c>
      <c r="F12" s="137">
        <v>77</v>
      </c>
    </row>
    <row r="13" spans="1:6" ht="12.75">
      <c r="A13" s="135" t="s">
        <v>111</v>
      </c>
      <c r="B13" s="136" t="s">
        <v>107</v>
      </c>
      <c r="C13" s="136">
        <v>18</v>
      </c>
      <c r="D13" s="136">
        <v>0.82</v>
      </c>
      <c r="E13" s="136">
        <v>10.1</v>
      </c>
      <c r="F13" s="137">
        <v>68</v>
      </c>
    </row>
    <row r="14" spans="1:6" ht="12.75">
      <c r="A14" s="135" t="s">
        <v>58</v>
      </c>
      <c r="B14" s="136" t="s">
        <v>107</v>
      </c>
      <c r="C14" s="136">
        <v>0</v>
      </c>
      <c r="D14" s="136">
        <v>0.82</v>
      </c>
      <c r="E14" s="136">
        <v>11.5</v>
      </c>
      <c r="F14" s="137">
        <v>87</v>
      </c>
    </row>
    <row r="15" spans="1:6" ht="12.75">
      <c r="A15" s="135" t="s">
        <v>59</v>
      </c>
      <c r="B15" s="136" t="s">
        <v>99</v>
      </c>
      <c r="C15" s="136">
        <v>630</v>
      </c>
      <c r="D15" s="136">
        <v>0.66</v>
      </c>
      <c r="E15" s="136">
        <v>5.7</v>
      </c>
      <c r="F15" s="137">
        <v>80</v>
      </c>
    </row>
    <row r="16" spans="1:6" ht="12.75">
      <c r="A16" s="135" t="s">
        <v>60</v>
      </c>
      <c r="B16" s="136" t="s">
        <v>100</v>
      </c>
      <c r="C16" s="136">
        <v>113</v>
      </c>
      <c r="D16" s="136">
        <v>0.82</v>
      </c>
      <c r="E16" s="136">
        <v>9.5</v>
      </c>
      <c r="F16" s="137">
        <v>80</v>
      </c>
    </row>
    <row r="17" spans="1:6" ht="12.75">
      <c r="A17" s="135" t="s">
        <v>61</v>
      </c>
      <c r="B17" s="136" t="s">
        <v>105</v>
      </c>
      <c r="C17" s="136">
        <v>0</v>
      </c>
      <c r="D17" s="136">
        <v>0.73</v>
      </c>
      <c r="E17" s="136">
        <v>10.2</v>
      </c>
      <c r="F17" s="137">
        <v>77</v>
      </c>
    </row>
    <row r="18" spans="1:6" ht="12.75">
      <c r="A18" s="135" t="s">
        <v>62</v>
      </c>
      <c r="B18" s="136" t="s">
        <v>108</v>
      </c>
      <c r="C18" s="136">
        <v>975</v>
      </c>
      <c r="D18" s="136">
        <v>0.66</v>
      </c>
      <c r="E18" s="136">
        <v>4.2</v>
      </c>
      <c r="F18" s="137">
        <v>78</v>
      </c>
    </row>
    <row r="19" spans="1:6" ht="12.75">
      <c r="A19" s="135" t="s">
        <v>63</v>
      </c>
      <c r="B19" s="136" t="s">
        <v>105</v>
      </c>
      <c r="C19" s="136">
        <v>5</v>
      </c>
      <c r="D19" s="136">
        <v>0.73</v>
      </c>
      <c r="E19" s="136">
        <v>7.9</v>
      </c>
      <c r="F19" s="137">
        <v>76</v>
      </c>
    </row>
    <row r="20" spans="1:6" ht="12.75">
      <c r="A20" s="135" t="s">
        <v>64</v>
      </c>
      <c r="B20" s="136" t="s">
        <v>104</v>
      </c>
      <c r="C20" s="136">
        <v>143</v>
      </c>
      <c r="D20" s="136">
        <v>0.73</v>
      </c>
      <c r="E20" s="136">
        <v>6.8</v>
      </c>
      <c r="F20" s="137">
        <v>77</v>
      </c>
    </row>
    <row r="21" spans="1:6" ht="12.75">
      <c r="A21" s="135" t="s">
        <v>65</v>
      </c>
      <c r="B21" s="136" t="s">
        <v>109</v>
      </c>
      <c r="C21" s="136">
        <v>754</v>
      </c>
      <c r="D21" s="136">
        <v>0.73</v>
      </c>
      <c r="E21" s="136">
        <v>6.5</v>
      </c>
      <c r="F21" s="137">
        <v>76</v>
      </c>
    </row>
    <row r="22" spans="1:6" ht="12.75">
      <c r="A22" s="135" t="s">
        <v>66</v>
      </c>
      <c r="B22" s="136" t="s">
        <v>99</v>
      </c>
      <c r="C22" s="136">
        <v>708</v>
      </c>
      <c r="D22" s="136">
        <v>0.66</v>
      </c>
      <c r="E22" s="136">
        <v>5.5</v>
      </c>
      <c r="F22" s="137">
        <v>80</v>
      </c>
    </row>
    <row r="23" spans="1:6" ht="12.75">
      <c r="A23" s="135" t="s">
        <v>67</v>
      </c>
      <c r="B23" s="136" t="s">
        <v>100</v>
      </c>
      <c r="C23" s="136">
        <v>50</v>
      </c>
      <c r="D23" s="136">
        <v>0.82</v>
      </c>
      <c r="E23" s="136">
        <v>12.2</v>
      </c>
      <c r="F23" s="137">
        <v>76</v>
      </c>
    </row>
    <row r="24" spans="1:6" ht="12.75">
      <c r="A24" s="135" t="s">
        <v>68</v>
      </c>
      <c r="B24" s="136" t="s">
        <v>108</v>
      </c>
      <c r="C24" s="136">
        <v>432</v>
      </c>
      <c r="D24" s="136">
        <v>0.66</v>
      </c>
      <c r="E24" s="136">
        <v>4.7</v>
      </c>
      <c r="F24" s="137">
        <v>80</v>
      </c>
    </row>
    <row r="25" spans="1:6" ht="12.75">
      <c r="A25" s="135" t="s">
        <v>69</v>
      </c>
      <c r="B25" s="136" t="s">
        <v>103</v>
      </c>
      <c r="C25" s="136">
        <v>436</v>
      </c>
      <c r="D25" s="136">
        <v>0.73</v>
      </c>
      <c r="E25" s="136">
        <v>8.7</v>
      </c>
      <c r="F25" s="137">
        <v>77</v>
      </c>
    </row>
    <row r="26" spans="1:6" ht="12.75">
      <c r="A26" s="135" t="s">
        <v>70</v>
      </c>
      <c r="B26" s="136" t="s">
        <v>102</v>
      </c>
      <c r="C26" s="136">
        <v>346</v>
      </c>
      <c r="D26" s="136">
        <v>0.57</v>
      </c>
      <c r="E26" s="136">
        <v>3.1</v>
      </c>
      <c r="F26" s="137">
        <v>81</v>
      </c>
    </row>
    <row r="27" spans="1:6" ht="12.75">
      <c r="A27" s="135" t="s">
        <v>71</v>
      </c>
      <c r="B27" s="136" t="s">
        <v>99</v>
      </c>
      <c r="C27" s="136">
        <v>131</v>
      </c>
      <c r="D27" s="136">
        <v>0.66</v>
      </c>
      <c r="E27" s="136">
        <v>5.5</v>
      </c>
      <c r="F27" s="137">
        <v>81</v>
      </c>
    </row>
    <row r="28" spans="1:6" ht="12.75">
      <c r="A28" s="135" t="s">
        <v>72</v>
      </c>
      <c r="B28" s="136" t="s">
        <v>108</v>
      </c>
      <c r="C28" s="136">
        <v>379</v>
      </c>
      <c r="D28" s="136">
        <v>0.66</v>
      </c>
      <c r="E28" s="136">
        <v>5.8</v>
      </c>
      <c r="F28" s="137">
        <v>75</v>
      </c>
    </row>
    <row r="29" spans="1:6" ht="12.75">
      <c r="A29" s="135" t="s">
        <v>73</v>
      </c>
      <c r="B29" s="136" t="s">
        <v>110</v>
      </c>
      <c r="C29" s="136">
        <v>412</v>
      </c>
      <c r="D29" s="136">
        <v>0.66</v>
      </c>
      <c r="E29" s="136">
        <v>5.8</v>
      </c>
      <c r="F29" s="137">
        <v>85</v>
      </c>
    </row>
    <row r="30" spans="1:6" ht="12.75">
      <c r="A30" s="135" t="s">
        <v>74</v>
      </c>
      <c r="B30" s="136" t="s">
        <v>99</v>
      </c>
      <c r="C30" s="136">
        <v>589</v>
      </c>
      <c r="D30" s="136">
        <v>0.66</v>
      </c>
      <c r="E30" s="136">
        <v>6.2</v>
      </c>
      <c r="F30" s="137">
        <v>71</v>
      </c>
    </row>
    <row r="31" spans="1:6" ht="12.75">
      <c r="A31" s="135" t="s">
        <v>75</v>
      </c>
      <c r="B31" s="136" t="s">
        <v>106</v>
      </c>
      <c r="C31" s="136">
        <v>0</v>
      </c>
      <c r="D31" s="136">
        <v>0.94</v>
      </c>
      <c r="E31" s="136">
        <v>12.2</v>
      </c>
      <c r="F31" s="137">
        <v>71</v>
      </c>
    </row>
    <row r="32" spans="1:6" ht="12.75">
      <c r="A32" s="135" t="s">
        <v>76</v>
      </c>
      <c r="B32" s="136" t="s">
        <v>106</v>
      </c>
      <c r="C32" s="136">
        <v>130</v>
      </c>
      <c r="D32" s="136">
        <v>0.94</v>
      </c>
      <c r="E32" s="136">
        <v>13.2</v>
      </c>
      <c r="F32" s="137">
        <v>72</v>
      </c>
    </row>
    <row r="33" spans="1:6" ht="12.75">
      <c r="A33" s="135" t="s">
        <v>77</v>
      </c>
      <c r="B33" s="136" t="s">
        <v>107</v>
      </c>
      <c r="C33" s="136">
        <v>25</v>
      </c>
      <c r="D33" s="136">
        <v>0.82</v>
      </c>
      <c r="E33" s="136">
        <v>10.6</v>
      </c>
      <c r="F33" s="137">
        <v>72</v>
      </c>
    </row>
    <row r="34" spans="1:6" ht="12.75">
      <c r="A34" s="135" t="s">
        <v>78</v>
      </c>
      <c r="B34" s="136" t="s">
        <v>104</v>
      </c>
      <c r="C34" s="136">
        <v>327</v>
      </c>
      <c r="D34" s="136">
        <v>0.73</v>
      </c>
      <c r="E34" s="136">
        <v>7.4</v>
      </c>
      <c r="F34" s="137">
        <v>83</v>
      </c>
    </row>
    <row r="35" spans="1:6" ht="12.75">
      <c r="A35" s="135" t="s">
        <v>79</v>
      </c>
      <c r="B35" s="136" t="s">
        <v>105</v>
      </c>
      <c r="C35" s="136">
        <v>214</v>
      </c>
      <c r="D35" s="136">
        <v>0.73</v>
      </c>
      <c r="E35" s="136">
        <v>7.5</v>
      </c>
      <c r="F35" s="137">
        <v>77</v>
      </c>
    </row>
    <row r="36" spans="1:6" ht="12.75">
      <c r="A36" s="135" t="s">
        <v>80</v>
      </c>
      <c r="B36" s="136" t="s">
        <v>110</v>
      </c>
      <c r="C36" s="136">
        <v>722</v>
      </c>
      <c r="D36" s="136">
        <v>0.66</v>
      </c>
      <c r="E36" s="136">
        <v>4.1</v>
      </c>
      <c r="F36" s="137">
        <v>84</v>
      </c>
    </row>
    <row r="37" spans="1:6" ht="12.75">
      <c r="A37" s="135" t="s">
        <v>81</v>
      </c>
      <c r="B37" s="136" t="s">
        <v>107</v>
      </c>
      <c r="C37" s="136">
        <v>1</v>
      </c>
      <c r="D37" s="136">
        <v>0.82</v>
      </c>
      <c r="E37" s="136">
        <v>11.6</v>
      </c>
      <c r="F37" s="137">
        <v>71</v>
      </c>
    </row>
    <row r="38" spans="1:6" ht="12.75">
      <c r="A38" s="135" t="s">
        <v>82</v>
      </c>
      <c r="B38" s="136" t="s">
        <v>106</v>
      </c>
      <c r="C38" s="136">
        <v>114</v>
      </c>
      <c r="D38" s="136">
        <v>0.94</v>
      </c>
      <c r="E38" s="136">
        <v>17.5</v>
      </c>
      <c r="F38" s="137">
        <v>68</v>
      </c>
    </row>
    <row r="39" spans="1:6" ht="12.75">
      <c r="A39" s="135" t="s">
        <v>83</v>
      </c>
      <c r="B39" s="136" t="s">
        <v>110</v>
      </c>
      <c r="C39" s="136">
        <v>456</v>
      </c>
      <c r="D39" s="136">
        <v>0.66</v>
      </c>
      <c r="E39" s="136">
        <v>4.5</v>
      </c>
      <c r="F39" s="137">
        <v>80</v>
      </c>
    </row>
    <row r="40" spans="1:6" ht="12.75">
      <c r="A40" s="135" t="s">
        <v>84</v>
      </c>
      <c r="B40" s="136" t="s">
        <v>105</v>
      </c>
      <c r="C40" s="136">
        <v>77</v>
      </c>
      <c r="D40" s="136">
        <v>0.73</v>
      </c>
      <c r="E40" s="136">
        <v>9.9</v>
      </c>
      <c r="F40" s="137">
        <v>74</v>
      </c>
    </row>
    <row r="41" spans="1:6" ht="12.75">
      <c r="A41" s="135" t="s">
        <v>85</v>
      </c>
      <c r="B41" s="136" t="s">
        <v>108</v>
      </c>
      <c r="C41" s="136">
        <v>770</v>
      </c>
      <c r="D41" s="136">
        <v>0.66</v>
      </c>
      <c r="E41" s="136">
        <v>3.7</v>
      </c>
      <c r="F41" s="137">
        <v>85</v>
      </c>
    </row>
    <row r="42" spans="1:6" ht="12.75">
      <c r="A42" s="135" t="s">
        <v>86</v>
      </c>
      <c r="B42" s="136" t="s">
        <v>106</v>
      </c>
      <c r="C42" s="136">
        <v>0</v>
      </c>
      <c r="D42" s="136">
        <v>0.94</v>
      </c>
      <c r="E42" s="136">
        <v>17.9</v>
      </c>
      <c r="F42" s="137">
        <v>66</v>
      </c>
    </row>
    <row r="43" spans="1:6" ht="12.75">
      <c r="A43" s="135" t="s">
        <v>87</v>
      </c>
      <c r="B43" s="136" t="s">
        <v>105</v>
      </c>
      <c r="C43" s="136">
        <v>1</v>
      </c>
      <c r="D43" s="136">
        <v>0.73</v>
      </c>
      <c r="E43" s="136">
        <v>9.7</v>
      </c>
      <c r="F43" s="137">
        <v>71</v>
      </c>
    </row>
    <row r="44" spans="1:6" ht="12.75">
      <c r="A44" s="135" t="s">
        <v>88</v>
      </c>
      <c r="B44" s="136" t="s">
        <v>108</v>
      </c>
      <c r="C44" s="136">
        <v>1013</v>
      </c>
      <c r="D44" s="136">
        <v>0.66</v>
      </c>
      <c r="E44" s="136">
        <v>4.1</v>
      </c>
      <c r="F44" s="137">
        <v>75</v>
      </c>
    </row>
    <row r="45" spans="1:6" ht="12.75">
      <c r="A45" s="135" t="s">
        <v>89</v>
      </c>
      <c r="B45" s="136" t="s">
        <v>100</v>
      </c>
      <c r="C45" s="136">
        <v>9</v>
      </c>
      <c r="D45" s="136">
        <v>0.82</v>
      </c>
      <c r="E45" s="136">
        <v>10.7</v>
      </c>
      <c r="F45" s="137">
        <v>79</v>
      </c>
    </row>
    <row r="46" spans="1:6" ht="12.75">
      <c r="A46" s="135" t="s">
        <v>90</v>
      </c>
      <c r="B46" s="136" t="s">
        <v>102</v>
      </c>
      <c r="C46" s="136">
        <v>984</v>
      </c>
      <c r="D46" s="136">
        <v>0.57</v>
      </c>
      <c r="E46" s="136">
        <v>2.9</v>
      </c>
      <c r="F46" s="137">
        <v>77</v>
      </c>
    </row>
    <row r="47" spans="1:6" ht="12.75">
      <c r="A47" s="135" t="s">
        <v>91</v>
      </c>
      <c r="B47" s="136" t="s">
        <v>107</v>
      </c>
      <c r="C47" s="136">
        <v>1</v>
      </c>
      <c r="D47" s="136">
        <v>0.82</v>
      </c>
      <c r="E47" s="136">
        <v>10</v>
      </c>
      <c r="F47" s="137">
        <v>66</v>
      </c>
    </row>
    <row r="48" spans="1:6" ht="12.75">
      <c r="A48" s="135" t="s">
        <v>92</v>
      </c>
      <c r="B48" s="136" t="s">
        <v>108</v>
      </c>
      <c r="C48" s="136">
        <v>995</v>
      </c>
      <c r="D48" s="136">
        <v>0.66</v>
      </c>
      <c r="E48" s="136">
        <v>3.8</v>
      </c>
      <c r="F48" s="137">
        <v>72</v>
      </c>
    </row>
    <row r="49" spans="1:6" ht="12.75">
      <c r="A49" s="135" t="s">
        <v>93</v>
      </c>
      <c r="B49" s="136" t="s">
        <v>103</v>
      </c>
      <c r="C49" s="136">
        <v>445</v>
      </c>
      <c r="D49" s="136">
        <v>0.73</v>
      </c>
      <c r="E49" s="136">
        <v>6.1</v>
      </c>
      <c r="F49" s="137">
        <v>78</v>
      </c>
    </row>
    <row r="50" spans="1:6" ht="12.75">
      <c r="A50" s="135" t="s">
        <v>94</v>
      </c>
      <c r="B50" s="136" t="s">
        <v>107</v>
      </c>
      <c r="C50" s="136">
        <v>8</v>
      </c>
      <c r="D50" s="136">
        <v>0.82</v>
      </c>
      <c r="E50" s="136">
        <v>10.4</v>
      </c>
      <c r="F50" s="137">
        <v>63</v>
      </c>
    </row>
    <row r="51" spans="1:6" ht="12.75">
      <c r="A51" s="135" t="s">
        <v>95</v>
      </c>
      <c r="B51" s="136" t="s">
        <v>108</v>
      </c>
      <c r="C51" s="136">
        <v>704</v>
      </c>
      <c r="D51" s="136">
        <v>0.66</v>
      </c>
      <c r="E51" s="136">
        <v>4.1</v>
      </c>
      <c r="F51" s="137">
        <v>82</v>
      </c>
    </row>
    <row r="52" spans="1:6" ht="12.75">
      <c r="A52" s="135" t="s">
        <v>96</v>
      </c>
      <c r="B52" s="136" t="s">
        <v>110</v>
      </c>
      <c r="C52" s="136">
        <v>512</v>
      </c>
      <c r="D52" s="136">
        <v>0.66</v>
      </c>
      <c r="E52" s="136">
        <v>4.6</v>
      </c>
      <c r="F52" s="137">
        <v>83</v>
      </c>
    </row>
    <row r="53" spans="1:6" ht="12.75">
      <c r="A53" s="135" t="s">
        <v>97</v>
      </c>
      <c r="B53" s="136" t="s">
        <v>108</v>
      </c>
      <c r="C53" s="136">
        <v>617</v>
      </c>
      <c r="D53" s="136">
        <v>0.66</v>
      </c>
      <c r="E53" s="136">
        <v>4.3</v>
      </c>
      <c r="F53" s="137">
        <v>83</v>
      </c>
    </row>
    <row r="54" spans="1:6" ht="13.5" thickBot="1">
      <c r="A54" s="138" t="s">
        <v>98</v>
      </c>
      <c r="B54" s="139" t="s">
        <v>99</v>
      </c>
      <c r="C54" s="139">
        <v>207</v>
      </c>
      <c r="D54" s="139">
        <v>0.66</v>
      </c>
      <c r="E54" s="139">
        <v>6.2</v>
      </c>
      <c r="F54" s="140">
        <v>76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2"/>
  <sheetViews>
    <sheetView workbookViewId="0" topLeftCell="A16">
      <selection activeCell="U59" sqref="U59"/>
    </sheetView>
  </sheetViews>
  <sheetFormatPr defaultColWidth="11.421875" defaultRowHeight="12.75"/>
  <cols>
    <col min="2" max="2" width="3.8515625" style="0" customWidth="1"/>
    <col min="3" max="3" width="6.421875" style="0" customWidth="1"/>
    <col min="4" max="17" width="5.7109375" style="0" customWidth="1"/>
    <col min="18" max="18" width="7.28125" style="0" customWidth="1"/>
    <col min="19" max="19" width="2.57421875" style="0" customWidth="1"/>
    <col min="20" max="20" width="16.00390625" style="0" customWidth="1"/>
    <col min="21" max="21" width="7.57421875" style="0" customWidth="1"/>
    <col min="22" max="23" width="6.00390625" style="0" hidden="1" customWidth="1"/>
  </cols>
  <sheetData>
    <row r="1" spans="3:23" ht="15.75">
      <c r="C1" s="11"/>
      <c r="V1" s="24" t="e">
        <f aca="true" t="shared" si="0" ref="V1:V18">+V2-0.1</f>
        <v>#REF!</v>
      </c>
      <c r="W1" s="24" t="e">
        <f aca="true" t="shared" si="1" ref="W1:W21">0.01*610.5*EXP(1)^((21.875*V1)/(265.5+V1))</f>
        <v>#REF!</v>
      </c>
    </row>
    <row r="2" spans="2:23" ht="15.75" customHeight="1">
      <c r="B2" s="120" t="s">
        <v>113</v>
      </c>
      <c r="C2" s="120"/>
      <c r="D2" s="120"/>
      <c r="E2" s="120"/>
      <c r="F2" s="120"/>
      <c r="G2" s="120"/>
      <c r="H2" s="120"/>
      <c r="J2" s="72"/>
      <c r="L2" s="72"/>
      <c r="M2" s="72"/>
      <c r="N2" s="80" t="s">
        <v>55</v>
      </c>
      <c r="O2" s="81"/>
      <c r="P2" s="81"/>
      <c r="Q2" s="81"/>
      <c r="R2" s="49"/>
      <c r="V2" s="24" t="e">
        <f>+V4-0.1</f>
        <v>#REF!</v>
      </c>
      <c r="W2" s="24" t="e">
        <f t="shared" si="1"/>
        <v>#REF!</v>
      </c>
    </row>
    <row r="3" spans="2:23" ht="15.75">
      <c r="B3" s="74" t="s">
        <v>115</v>
      </c>
      <c r="C3" s="48"/>
      <c r="D3" s="65"/>
      <c r="E3" s="48"/>
      <c r="G3" s="66"/>
      <c r="H3" s="66"/>
      <c r="I3" s="71"/>
      <c r="J3" s="71"/>
      <c r="K3" s="71"/>
      <c r="N3" s="79">
        <v>0</v>
      </c>
      <c r="V3" s="24"/>
      <c r="W3" s="24"/>
    </row>
    <row r="4" spans="2:23" ht="15.75">
      <c r="B4" s="75" t="s">
        <v>114</v>
      </c>
      <c r="D4" s="11"/>
      <c r="I4" s="63"/>
      <c r="J4" s="63"/>
      <c r="M4" s="63"/>
      <c r="N4" s="78" t="s">
        <v>47</v>
      </c>
      <c r="O4" s="78">
        <v>80</v>
      </c>
      <c r="V4" s="24" t="e">
        <f t="shared" si="0"/>
        <v>#REF!</v>
      </c>
      <c r="W4" s="24" t="e">
        <f t="shared" si="1"/>
        <v>#REF!</v>
      </c>
    </row>
    <row r="5" spans="22:23" ht="12.75">
      <c r="V5" s="24" t="e">
        <f>+#REF!-0.1</f>
        <v>#REF!</v>
      </c>
      <c r="W5" s="24" t="e">
        <f t="shared" si="1"/>
        <v>#REF!</v>
      </c>
    </row>
    <row r="6" spans="2:23" ht="18">
      <c r="B6" s="75" t="s">
        <v>133</v>
      </c>
      <c r="C6" s="10"/>
      <c r="D6" s="11"/>
      <c r="E6" s="10"/>
      <c r="F6" s="10"/>
      <c r="G6" s="10"/>
      <c r="H6" s="10"/>
      <c r="I6" s="10"/>
      <c r="J6" s="10"/>
      <c r="K6" s="10"/>
      <c r="L6" s="10"/>
      <c r="N6" s="76" t="str">
        <f>VLOOKUP(Condensación!N2,datos!A3:B54,2)</f>
        <v>E1</v>
      </c>
      <c r="O6" s="77"/>
      <c r="P6" s="64"/>
      <c r="V6" s="24" t="e">
        <f t="shared" si="0"/>
        <v>#REF!</v>
      </c>
      <c r="W6" s="24" t="e">
        <f t="shared" si="1"/>
        <v>#REF!</v>
      </c>
    </row>
    <row r="7" spans="2:23" ht="18">
      <c r="B7" s="75" t="s">
        <v>138</v>
      </c>
      <c r="C7" s="10"/>
      <c r="D7" s="11"/>
      <c r="E7" s="10"/>
      <c r="F7" s="10"/>
      <c r="G7" s="10"/>
      <c r="H7" s="10"/>
      <c r="I7" s="10"/>
      <c r="J7" s="10"/>
      <c r="K7" s="10"/>
      <c r="L7" s="10"/>
      <c r="M7" s="11" t="s">
        <v>136</v>
      </c>
      <c r="N7" s="124">
        <f>VLOOKUP(N2,datos!A3:D54,4)</f>
        <v>0.57</v>
      </c>
      <c r="O7" s="124"/>
      <c r="P7" s="10" t="s">
        <v>1</v>
      </c>
      <c r="V7" s="24" t="e">
        <f t="shared" si="0"/>
        <v>#REF!</v>
      </c>
      <c r="W7" s="24" t="e">
        <f t="shared" si="1"/>
        <v>#REF!</v>
      </c>
    </row>
    <row r="8" spans="2:23" ht="18">
      <c r="B8" s="75" t="s">
        <v>134</v>
      </c>
      <c r="C8" s="10"/>
      <c r="D8" s="11"/>
      <c r="E8" s="10"/>
      <c r="F8" s="10"/>
      <c r="G8" s="10"/>
      <c r="H8" s="97" t="str">
        <f>+N4</f>
        <v>PN</v>
      </c>
      <c r="I8" s="98">
        <f>+O4</f>
        <v>80</v>
      </c>
      <c r="J8" s="10"/>
      <c r="K8" s="10"/>
      <c r="L8" s="10"/>
      <c r="M8" s="11" t="s">
        <v>137</v>
      </c>
      <c r="N8" s="124">
        <f>+D108</f>
        <v>0.3880149065271707</v>
      </c>
      <c r="O8" s="124"/>
      <c r="P8" s="10" t="s">
        <v>1</v>
      </c>
      <c r="V8" s="24" t="e">
        <f t="shared" si="0"/>
        <v>#REF!</v>
      </c>
      <c r="W8" s="24" t="e">
        <f t="shared" si="1"/>
        <v>#REF!</v>
      </c>
    </row>
    <row r="9" spans="4:23" ht="15.75">
      <c r="D9" s="11"/>
      <c r="V9" s="24" t="e">
        <f t="shared" si="0"/>
        <v>#REF!</v>
      </c>
      <c r="W9" s="24" t="e">
        <f t="shared" si="1"/>
        <v>#REF!</v>
      </c>
    </row>
    <row r="10" spans="2:23" ht="15.75">
      <c r="B10" t="s">
        <v>5</v>
      </c>
      <c r="D10" s="11"/>
      <c r="V10" s="24" t="e">
        <f t="shared" si="0"/>
        <v>#REF!</v>
      </c>
      <c r="W10" s="24" t="e">
        <f t="shared" si="1"/>
        <v>#REF!</v>
      </c>
    </row>
    <row r="11" spans="2:23" ht="15.75">
      <c r="B11" t="s">
        <v>142</v>
      </c>
      <c r="D11" s="11"/>
      <c r="G11" t="s">
        <v>116</v>
      </c>
      <c r="I11" s="62">
        <f>1-N8/N7</f>
        <v>0.3192720938119812</v>
      </c>
      <c r="J11" t="s">
        <v>135</v>
      </c>
      <c r="V11" s="24" t="e">
        <f>+#REF!-0.1</f>
        <v>#REF!</v>
      </c>
      <c r="W11" s="24" t="e">
        <f t="shared" si="1"/>
        <v>#REF!</v>
      </c>
    </row>
    <row r="12" spans="4:23" ht="15.75">
      <c r="D12" s="11"/>
      <c r="V12" s="24" t="e">
        <f>+#REF!-0.1</f>
        <v>#REF!</v>
      </c>
      <c r="W12" s="24" t="e">
        <f t="shared" si="1"/>
        <v>#REF!</v>
      </c>
    </row>
    <row r="13" spans="22:23" ht="13.5" thickBot="1">
      <c r="V13" s="24" t="e">
        <f t="shared" si="0"/>
        <v>#REF!</v>
      </c>
      <c r="W13" s="24" t="e">
        <f t="shared" si="1"/>
        <v>#REF!</v>
      </c>
    </row>
    <row r="14" spans="4:23" ht="12.75">
      <c r="D14" s="12"/>
      <c r="E14" s="13"/>
      <c r="F14" s="14"/>
      <c r="G14" s="5"/>
      <c r="H14" s="6"/>
      <c r="I14" s="6"/>
      <c r="J14" s="6"/>
      <c r="K14" s="6"/>
      <c r="L14" s="6"/>
      <c r="M14" s="6"/>
      <c r="N14" s="6"/>
      <c r="O14" s="12"/>
      <c r="P14" s="13"/>
      <c r="Q14" s="14"/>
      <c r="V14" s="24" t="e">
        <f t="shared" si="0"/>
        <v>#REF!</v>
      </c>
      <c r="W14" s="24" t="e">
        <f t="shared" si="1"/>
        <v>#REF!</v>
      </c>
    </row>
    <row r="15" spans="1:23" ht="15.75">
      <c r="A15" s="107">
        <f>+J78/100</f>
        <v>0.7</v>
      </c>
      <c r="D15" s="128" t="s">
        <v>140</v>
      </c>
      <c r="E15" s="129"/>
      <c r="F15" s="130"/>
      <c r="G15" s="7"/>
      <c r="H15" s="99"/>
      <c r="I15" s="125" t="s">
        <v>139</v>
      </c>
      <c r="J15" s="126" t="str">
        <f>+N4</f>
        <v>PN</v>
      </c>
      <c r="K15" s="125">
        <f>+O4</f>
        <v>80</v>
      </c>
      <c r="L15" s="99"/>
      <c r="M15" s="99"/>
      <c r="N15" s="99"/>
      <c r="O15" s="128" t="s">
        <v>140</v>
      </c>
      <c r="P15" s="129"/>
      <c r="Q15" s="130"/>
      <c r="R15" s="133">
        <f>+H76</f>
        <v>0.86</v>
      </c>
      <c r="S15" s="134"/>
      <c r="V15" s="24" t="e">
        <f t="shared" si="0"/>
        <v>#REF!</v>
      </c>
      <c r="W15" s="24" t="e">
        <f t="shared" si="1"/>
        <v>#REF!</v>
      </c>
    </row>
    <row r="16" spans="1:23" ht="15.75">
      <c r="A16" s="65">
        <f>+Q83</f>
        <v>20</v>
      </c>
      <c r="B16" s="18" t="s">
        <v>12</v>
      </c>
      <c r="D16" s="128"/>
      <c r="E16" s="129"/>
      <c r="F16" s="130"/>
      <c r="G16" s="7"/>
      <c r="H16" s="99"/>
      <c r="I16" s="125"/>
      <c r="J16" s="126"/>
      <c r="K16" s="125"/>
      <c r="L16" s="99"/>
      <c r="M16" s="99"/>
      <c r="N16" s="99"/>
      <c r="O16" s="128"/>
      <c r="P16" s="129"/>
      <c r="Q16" s="130"/>
      <c r="R16" s="105">
        <f>+H69</f>
        <v>2.6</v>
      </c>
      <c r="S16" s="18" t="s">
        <v>12</v>
      </c>
      <c r="V16" s="24" t="e">
        <f t="shared" si="0"/>
        <v>#REF!</v>
      </c>
      <c r="W16" s="24" t="e">
        <f t="shared" si="1"/>
        <v>#REF!</v>
      </c>
    </row>
    <row r="17" spans="4:23" ht="13.5" thickBot="1">
      <c r="D17" s="15"/>
      <c r="E17" s="16"/>
      <c r="F17" s="17"/>
      <c r="G17" s="8"/>
      <c r="H17" s="9"/>
      <c r="I17" s="9"/>
      <c r="J17" s="9"/>
      <c r="K17" s="9"/>
      <c r="L17" s="9"/>
      <c r="M17" s="9"/>
      <c r="N17" s="9"/>
      <c r="O17" s="15"/>
      <c r="P17" s="16"/>
      <c r="Q17" s="17"/>
      <c r="V17" s="24" t="e">
        <f t="shared" si="0"/>
        <v>#REF!</v>
      </c>
      <c r="W17" s="24" t="e">
        <f t="shared" si="1"/>
        <v>#REF!</v>
      </c>
    </row>
    <row r="18" spans="4:23" s="10" customFormat="1" ht="12.75">
      <c r="D18" s="18"/>
      <c r="E18" s="20">
        <v>3</v>
      </c>
      <c r="F18" s="18"/>
      <c r="G18" s="21"/>
      <c r="H18" s="21"/>
      <c r="I18" s="21"/>
      <c r="J18" s="21"/>
      <c r="K18" s="22">
        <f>+O4/10</f>
        <v>8</v>
      </c>
      <c r="L18" s="21"/>
      <c r="M18" s="21"/>
      <c r="N18" s="21"/>
      <c r="O18" s="18"/>
      <c r="P18" s="20">
        <v>3</v>
      </c>
      <c r="Q18" s="18"/>
      <c r="V18" s="24" t="e">
        <f t="shared" si="0"/>
        <v>#REF!</v>
      </c>
      <c r="W18" s="24" t="e">
        <f t="shared" si="1"/>
        <v>#REF!</v>
      </c>
    </row>
    <row r="19" spans="4:23" s="10" customFormat="1" ht="7.5" customHeight="1">
      <c r="D19" s="18"/>
      <c r="E19" s="20"/>
      <c r="F19" s="18"/>
      <c r="G19" s="21"/>
      <c r="H19" s="21"/>
      <c r="I19" s="21"/>
      <c r="K19" s="22"/>
      <c r="L19" s="21"/>
      <c r="M19" s="21"/>
      <c r="N19" s="21"/>
      <c r="O19" s="18"/>
      <c r="P19" s="20"/>
      <c r="Q19" s="18"/>
      <c r="V19" s="24" t="e">
        <f>+V21-0.1</f>
        <v>#REF!</v>
      </c>
      <c r="W19" s="24" t="e">
        <f t="shared" si="1"/>
        <v>#REF!</v>
      </c>
    </row>
    <row r="20" spans="4:23" s="10" customFormat="1" ht="12.75">
      <c r="D20" s="18"/>
      <c r="E20" s="20"/>
      <c r="F20" s="18"/>
      <c r="G20" s="21"/>
      <c r="H20" s="21"/>
      <c r="I20" s="21"/>
      <c r="J20" s="21">
        <f>+E18+K18+P18</f>
        <v>14</v>
      </c>
      <c r="K20" s="22"/>
      <c r="L20" s="21"/>
      <c r="M20" s="21"/>
      <c r="N20" s="21"/>
      <c r="O20" s="18"/>
      <c r="P20" s="20"/>
      <c r="Q20" s="18"/>
      <c r="V20" s="24"/>
      <c r="W20" s="24"/>
    </row>
    <row r="21" spans="4:23" s="10" customFormat="1" ht="12.75">
      <c r="D21" s="18"/>
      <c r="E21" s="20"/>
      <c r="F21" s="18"/>
      <c r="G21" s="21"/>
      <c r="H21" s="21"/>
      <c r="I21" s="21"/>
      <c r="J21" s="21"/>
      <c r="K21" s="22"/>
      <c r="L21" s="21"/>
      <c r="M21" s="21"/>
      <c r="N21" s="21"/>
      <c r="O21" s="18"/>
      <c r="P21" s="20"/>
      <c r="Q21" s="18"/>
      <c r="V21" s="24" t="e">
        <f>+#REF!-0.1</f>
        <v>#REF!</v>
      </c>
      <c r="W21" s="24" t="e">
        <f t="shared" si="1"/>
        <v>#REF!</v>
      </c>
    </row>
    <row r="22" spans="4:23" s="10" customFormat="1" ht="12.75">
      <c r="D22" s="18"/>
      <c r="E22" s="20"/>
      <c r="F22" s="18"/>
      <c r="G22" s="21" t="s">
        <v>132</v>
      </c>
      <c r="H22" s="21"/>
      <c r="I22" s="21"/>
      <c r="J22" s="21"/>
      <c r="K22" s="22"/>
      <c r="L22" s="21"/>
      <c r="M22" s="21"/>
      <c r="N22" s="21"/>
      <c r="O22" s="18"/>
      <c r="P22" s="20"/>
      <c r="Q22" s="18"/>
      <c r="V22" s="24"/>
      <c r="W22" s="24"/>
    </row>
    <row r="23" spans="4:23" s="10" customFormat="1" ht="12.75">
      <c r="D23" s="18"/>
      <c r="E23" s="20"/>
      <c r="F23" s="18"/>
      <c r="G23" s="21"/>
      <c r="H23" s="21"/>
      <c r="I23" s="21"/>
      <c r="J23" s="21"/>
      <c r="K23" s="22"/>
      <c r="L23" s="21"/>
      <c r="M23" s="21"/>
      <c r="N23" s="21"/>
      <c r="O23" s="18"/>
      <c r="P23" s="20"/>
      <c r="Q23" s="18"/>
      <c r="V23" s="24"/>
      <c r="W23" s="24"/>
    </row>
    <row r="24" spans="4:23" s="10" customFormat="1" ht="12.75">
      <c r="D24" s="18"/>
      <c r="E24" s="20"/>
      <c r="F24" s="18"/>
      <c r="G24" s="21"/>
      <c r="H24" s="21"/>
      <c r="I24" s="21"/>
      <c r="J24" s="21"/>
      <c r="K24" s="22"/>
      <c r="L24" s="21"/>
      <c r="M24" s="21"/>
      <c r="N24" s="21"/>
      <c r="O24" s="18"/>
      <c r="P24" s="20"/>
      <c r="Q24" s="18"/>
      <c r="V24" s="24"/>
      <c r="W24" s="24"/>
    </row>
    <row r="25" spans="4:23" s="10" customFormat="1" ht="12.75">
      <c r="D25" s="18"/>
      <c r="E25" s="20"/>
      <c r="F25" s="18"/>
      <c r="G25" s="21"/>
      <c r="H25" s="21"/>
      <c r="I25" s="21"/>
      <c r="J25" s="21"/>
      <c r="K25" s="22"/>
      <c r="L25" s="21"/>
      <c r="M25" s="21"/>
      <c r="N25" s="21"/>
      <c r="O25" s="18"/>
      <c r="P25" s="20"/>
      <c r="Q25" s="18"/>
      <c r="V25" s="24"/>
      <c r="W25" s="24"/>
    </row>
    <row r="26" spans="4:23" s="10" customFormat="1" ht="12.75">
      <c r="D26" s="18"/>
      <c r="E26" s="20"/>
      <c r="F26" s="18"/>
      <c r="G26" s="21"/>
      <c r="H26" s="21"/>
      <c r="I26" s="21"/>
      <c r="J26" s="21"/>
      <c r="K26" s="22"/>
      <c r="L26" s="21"/>
      <c r="M26" s="21"/>
      <c r="N26" s="21"/>
      <c r="O26" s="18"/>
      <c r="P26" s="20"/>
      <c r="Q26" s="18"/>
      <c r="V26" s="24"/>
      <c r="W26" s="24"/>
    </row>
    <row r="27" spans="4:23" s="10" customFormat="1" ht="12.75">
      <c r="D27" s="18"/>
      <c r="E27" s="20"/>
      <c r="F27" s="18"/>
      <c r="G27" s="21"/>
      <c r="H27" s="21"/>
      <c r="I27" s="21"/>
      <c r="J27" s="21"/>
      <c r="K27" s="22"/>
      <c r="L27" s="21"/>
      <c r="M27" s="21"/>
      <c r="N27" s="21"/>
      <c r="O27" s="18"/>
      <c r="P27" s="20"/>
      <c r="Q27" s="18"/>
      <c r="V27" s="24"/>
      <c r="W27" s="24"/>
    </row>
    <row r="28" spans="4:23" s="10" customFormat="1" ht="12.75">
      <c r="D28" s="18"/>
      <c r="E28" s="20"/>
      <c r="F28" s="18"/>
      <c r="G28" s="21"/>
      <c r="H28" s="21"/>
      <c r="I28" s="21"/>
      <c r="J28" s="21"/>
      <c r="K28" s="22"/>
      <c r="L28" s="21"/>
      <c r="M28" s="21"/>
      <c r="N28" s="21"/>
      <c r="O28" s="18"/>
      <c r="P28" s="20"/>
      <c r="Q28" s="18"/>
      <c r="V28" s="24"/>
      <c r="W28" s="24"/>
    </row>
    <row r="29" spans="4:23" s="10" customFormat="1" ht="12.75">
      <c r="D29" s="18"/>
      <c r="E29" s="20"/>
      <c r="F29" s="18"/>
      <c r="G29" s="21"/>
      <c r="H29" s="21"/>
      <c r="I29" s="21"/>
      <c r="J29" s="21"/>
      <c r="K29" s="22"/>
      <c r="L29" s="21"/>
      <c r="M29" s="21"/>
      <c r="N29" s="21"/>
      <c r="O29" s="18"/>
      <c r="P29" s="20"/>
      <c r="Q29" s="18"/>
      <c r="V29" s="24"/>
      <c r="W29" s="24"/>
    </row>
    <row r="30" spans="4:23" s="10" customFormat="1" ht="12.75">
      <c r="D30" s="18"/>
      <c r="E30" s="20"/>
      <c r="F30" s="18"/>
      <c r="G30" s="21"/>
      <c r="H30" s="21"/>
      <c r="I30" s="21"/>
      <c r="J30" s="21"/>
      <c r="K30" s="22"/>
      <c r="L30" s="21"/>
      <c r="M30" s="21"/>
      <c r="N30" s="21"/>
      <c r="O30" s="18"/>
      <c r="P30" s="20"/>
      <c r="Q30" s="18"/>
      <c r="V30" s="24"/>
      <c r="W30" s="24"/>
    </row>
    <row r="31" spans="4:23" s="10" customFormat="1" ht="12.75">
      <c r="D31" s="18"/>
      <c r="E31" s="20"/>
      <c r="F31" s="18"/>
      <c r="G31" s="21"/>
      <c r="H31" s="21"/>
      <c r="I31" s="21"/>
      <c r="J31" s="21"/>
      <c r="K31" s="22"/>
      <c r="L31" s="21"/>
      <c r="M31" s="21"/>
      <c r="N31" s="21"/>
      <c r="O31" s="18"/>
      <c r="P31" s="20"/>
      <c r="Q31" s="18"/>
      <c r="V31" s="24"/>
      <c r="W31" s="24"/>
    </row>
    <row r="32" spans="4:23" s="10" customFormat="1" ht="12.75">
      <c r="D32" s="18"/>
      <c r="E32" s="20"/>
      <c r="F32" s="18"/>
      <c r="G32" s="21"/>
      <c r="H32" s="21"/>
      <c r="I32" s="21"/>
      <c r="J32" s="21"/>
      <c r="K32" s="22"/>
      <c r="L32" s="21"/>
      <c r="M32" s="21"/>
      <c r="N32" s="21"/>
      <c r="O32" s="18"/>
      <c r="P32" s="20"/>
      <c r="Q32" s="18"/>
      <c r="V32" s="24"/>
      <c r="W32" s="24"/>
    </row>
    <row r="33" spans="4:23" s="10" customFormat="1" ht="12.75">
      <c r="D33" s="18"/>
      <c r="E33" s="20"/>
      <c r="F33" s="18"/>
      <c r="G33" s="21"/>
      <c r="H33" s="21"/>
      <c r="I33" s="21"/>
      <c r="J33" s="21"/>
      <c r="K33" s="22"/>
      <c r="L33" s="21"/>
      <c r="M33" s="21"/>
      <c r="N33" s="21"/>
      <c r="O33" s="18"/>
      <c r="P33" s="20"/>
      <c r="Q33" s="18"/>
      <c r="V33" s="24"/>
      <c r="W33" s="24"/>
    </row>
    <row r="34" spans="4:27" s="10" customFormat="1" ht="12.75">
      <c r="D34" s="18"/>
      <c r="E34" s="20"/>
      <c r="F34" s="18"/>
      <c r="G34" s="21"/>
      <c r="H34" s="21"/>
      <c r="I34" s="21"/>
      <c r="J34" s="21"/>
      <c r="K34" s="22"/>
      <c r="L34" s="21"/>
      <c r="M34" s="21"/>
      <c r="N34" s="21"/>
      <c r="O34" s="18"/>
      <c r="P34" s="20"/>
      <c r="Q34" s="18"/>
      <c r="AA34" s="101"/>
    </row>
    <row r="35" spans="4:27" s="10" customFormat="1" ht="12.75">
      <c r="D35" s="18"/>
      <c r="E35" s="20"/>
      <c r="F35" s="18"/>
      <c r="G35" s="21"/>
      <c r="H35" s="21"/>
      <c r="I35" s="21"/>
      <c r="J35" s="21"/>
      <c r="K35" s="22"/>
      <c r="L35" s="21"/>
      <c r="M35" s="21"/>
      <c r="N35" s="21"/>
      <c r="O35" s="18"/>
      <c r="P35" s="20"/>
      <c r="Q35" s="18"/>
      <c r="AA35" s="104"/>
    </row>
    <row r="36" spans="4:27" s="10" customFormat="1" ht="12.75">
      <c r="D36" s="18"/>
      <c r="E36" s="20"/>
      <c r="F36" s="18"/>
      <c r="G36" s="21"/>
      <c r="H36" s="21"/>
      <c r="I36" s="21"/>
      <c r="J36" s="21"/>
      <c r="K36" s="22"/>
      <c r="L36" s="21"/>
      <c r="M36" s="21"/>
      <c r="N36" s="21"/>
      <c r="O36" s="18"/>
      <c r="P36" s="20"/>
      <c r="Q36" s="18"/>
      <c r="AA36" s="104"/>
    </row>
    <row r="37" spans="4:27" s="10" customFormat="1" ht="12.75">
      <c r="D37" s="18"/>
      <c r="E37" s="20"/>
      <c r="F37" s="18"/>
      <c r="G37" s="21"/>
      <c r="H37" s="21"/>
      <c r="I37" s="21"/>
      <c r="J37" s="21"/>
      <c r="K37" s="22"/>
      <c r="L37" s="21"/>
      <c r="M37" s="21"/>
      <c r="N37" s="21"/>
      <c r="O37" s="18"/>
      <c r="P37" s="20"/>
      <c r="Q37" s="18"/>
      <c r="AA37" s="104"/>
    </row>
    <row r="38" spans="4:27" s="10" customFormat="1" ht="12.75">
      <c r="D38" s="18"/>
      <c r="E38" s="20"/>
      <c r="F38" s="18"/>
      <c r="G38" s="21"/>
      <c r="H38" s="21"/>
      <c r="I38" s="21"/>
      <c r="J38" s="21"/>
      <c r="K38" s="22"/>
      <c r="L38" s="21"/>
      <c r="M38" s="21"/>
      <c r="N38" s="21"/>
      <c r="O38" s="18"/>
      <c r="P38" s="20"/>
      <c r="Q38" s="18"/>
      <c r="AA38" s="104"/>
    </row>
    <row r="39" spans="4:27" s="10" customFormat="1" ht="12.75">
      <c r="D39" s="18"/>
      <c r="E39" s="20"/>
      <c r="F39" s="18"/>
      <c r="G39" s="21"/>
      <c r="H39" s="21"/>
      <c r="I39" s="21"/>
      <c r="J39" s="21"/>
      <c r="K39" s="22"/>
      <c r="L39" s="21"/>
      <c r="M39" s="21"/>
      <c r="N39" s="21"/>
      <c r="O39" s="18"/>
      <c r="P39" s="20"/>
      <c r="Q39" s="18"/>
      <c r="AA39" s="104"/>
    </row>
    <row r="40" spans="4:27" s="10" customFormat="1" ht="12.75">
      <c r="D40" s="18"/>
      <c r="E40" s="20"/>
      <c r="F40" s="18"/>
      <c r="G40" s="21"/>
      <c r="H40" s="21"/>
      <c r="I40" s="21"/>
      <c r="J40" s="21"/>
      <c r="K40" s="22"/>
      <c r="L40" s="21"/>
      <c r="M40" s="21"/>
      <c r="N40" s="21"/>
      <c r="O40" s="18"/>
      <c r="P40" s="20"/>
      <c r="Q40" s="18"/>
      <c r="AA40" s="104"/>
    </row>
    <row r="41" spans="4:27" s="10" customFormat="1" ht="12.75">
      <c r="D41" s="18"/>
      <c r="E41" s="20"/>
      <c r="F41" s="18"/>
      <c r="G41" s="21"/>
      <c r="H41" s="21"/>
      <c r="I41" s="21"/>
      <c r="J41" s="21"/>
      <c r="K41" s="22"/>
      <c r="L41" s="21"/>
      <c r="M41" s="21"/>
      <c r="N41" s="21"/>
      <c r="O41" s="18"/>
      <c r="P41" s="20"/>
      <c r="Q41" s="18"/>
      <c r="AA41" s="104"/>
    </row>
    <row r="42" spans="4:27" s="10" customFormat="1" ht="12.75">
      <c r="D42" s="18"/>
      <c r="E42" s="20"/>
      <c r="F42" s="18"/>
      <c r="G42" s="21"/>
      <c r="H42" s="21"/>
      <c r="I42" s="21"/>
      <c r="J42" s="21"/>
      <c r="K42" s="22"/>
      <c r="L42" s="21"/>
      <c r="M42" s="21"/>
      <c r="N42" s="21"/>
      <c r="O42" s="18"/>
      <c r="P42" s="20"/>
      <c r="Q42" s="18"/>
      <c r="AA42" s="104"/>
    </row>
    <row r="43" spans="4:17" s="10" customFormat="1" ht="12.75">
      <c r="D43" s="18"/>
      <c r="E43" s="20"/>
      <c r="F43" s="18"/>
      <c r="G43" s="21"/>
      <c r="H43" s="21"/>
      <c r="I43" s="21"/>
      <c r="J43" s="21"/>
      <c r="K43" s="22"/>
      <c r="L43" s="21"/>
      <c r="M43" s="21"/>
      <c r="N43" s="21"/>
      <c r="O43" s="18"/>
      <c r="P43" s="20"/>
      <c r="Q43" s="18"/>
    </row>
    <row r="44" spans="4:23" s="10" customFormat="1" ht="12.75">
      <c r="D44" s="18"/>
      <c r="E44" s="20"/>
      <c r="F44" s="18"/>
      <c r="G44" s="21"/>
      <c r="H44" s="21"/>
      <c r="I44" s="21"/>
      <c r="J44" s="21"/>
      <c r="K44" s="22"/>
      <c r="L44" s="21"/>
      <c r="M44" s="21"/>
      <c r="N44" s="21"/>
      <c r="O44" s="18"/>
      <c r="P44" s="20"/>
      <c r="Q44" s="18"/>
      <c r="V44" s="24"/>
      <c r="W44" s="24"/>
    </row>
    <row r="45" spans="4:23" s="10" customFormat="1" ht="12.75">
      <c r="D45" s="18"/>
      <c r="E45" s="20"/>
      <c r="F45" s="18"/>
      <c r="G45" s="21"/>
      <c r="H45" s="21"/>
      <c r="I45" s="21"/>
      <c r="J45" s="21"/>
      <c r="K45" s="22"/>
      <c r="L45" s="21"/>
      <c r="M45" s="21"/>
      <c r="N45" s="21"/>
      <c r="O45" s="18"/>
      <c r="P45" s="20"/>
      <c r="Q45" s="18"/>
      <c r="V45" s="24"/>
      <c r="W45" s="24"/>
    </row>
    <row r="46" spans="4:23" s="10" customFormat="1" ht="12.75">
      <c r="D46" s="18"/>
      <c r="E46" s="20"/>
      <c r="F46" s="18"/>
      <c r="G46" s="21"/>
      <c r="H46" s="21"/>
      <c r="I46" s="21"/>
      <c r="J46" s="21"/>
      <c r="K46" s="22"/>
      <c r="L46" s="21"/>
      <c r="M46" s="21"/>
      <c r="N46" s="21"/>
      <c r="O46" s="18"/>
      <c r="P46" s="20"/>
      <c r="Q46" s="18"/>
      <c r="V46" s="24"/>
      <c r="W46" s="24"/>
    </row>
    <row r="47" spans="4:17" s="10" customFormat="1" ht="12.75">
      <c r="D47" s="18"/>
      <c r="E47" s="20"/>
      <c r="F47" s="18"/>
      <c r="G47" s="21"/>
      <c r="H47" s="21"/>
      <c r="I47" s="21"/>
      <c r="J47" s="21"/>
      <c r="K47" s="22"/>
      <c r="L47" s="21"/>
      <c r="M47" s="21"/>
      <c r="N47" s="21"/>
      <c r="O47" s="18"/>
      <c r="P47" s="20"/>
      <c r="Q47" s="18"/>
    </row>
    <row r="48" spans="4:17" s="10" customFormat="1" ht="12.75">
      <c r="D48" s="18"/>
      <c r="E48" s="20"/>
      <c r="F48" s="18"/>
      <c r="G48" s="21"/>
      <c r="H48" s="21"/>
      <c r="I48" s="21"/>
      <c r="J48" s="21"/>
      <c r="K48" s="22"/>
      <c r="L48" s="21"/>
      <c r="M48" s="21"/>
      <c r="N48" s="21"/>
      <c r="O48" s="18"/>
      <c r="P48" s="20"/>
      <c r="Q48" s="18"/>
    </row>
    <row r="49" spans="4:17" s="10" customFormat="1" ht="12.75">
      <c r="D49" s="18"/>
      <c r="E49" s="20"/>
      <c r="F49" s="18"/>
      <c r="G49" s="21"/>
      <c r="H49" s="21"/>
      <c r="I49" s="21"/>
      <c r="J49" s="21"/>
      <c r="K49" s="22"/>
      <c r="L49" s="21"/>
      <c r="M49" s="21"/>
      <c r="N49" s="21"/>
      <c r="O49" s="18"/>
      <c r="P49" s="20"/>
      <c r="Q49" s="18"/>
    </row>
    <row r="50" spans="4:17" s="10" customFormat="1" ht="12.75">
      <c r="D50" s="18"/>
      <c r="E50" s="20"/>
      <c r="F50" s="18"/>
      <c r="G50" s="21"/>
      <c r="H50" s="21"/>
      <c r="I50" s="21"/>
      <c r="J50" s="21"/>
      <c r="K50" s="22"/>
      <c r="L50" s="21"/>
      <c r="M50" s="21"/>
      <c r="N50" s="21"/>
      <c r="O50" s="18"/>
      <c r="P50" s="20"/>
      <c r="Q50" s="18"/>
    </row>
    <row r="51" spans="4:17" s="10" customFormat="1" ht="12.75">
      <c r="D51" s="18"/>
      <c r="E51" s="20"/>
      <c r="F51" s="18"/>
      <c r="G51" s="21"/>
      <c r="H51" s="21"/>
      <c r="I51" s="21"/>
      <c r="J51" s="21"/>
      <c r="K51" s="22"/>
      <c r="L51" s="21"/>
      <c r="M51" s="21"/>
      <c r="N51" s="21"/>
      <c r="O51" s="18"/>
      <c r="P51" s="20"/>
      <c r="Q51" s="18"/>
    </row>
    <row r="52" spans="4:17" s="10" customFormat="1" ht="12.75">
      <c r="D52" s="18"/>
      <c r="E52" s="20"/>
      <c r="F52" s="18"/>
      <c r="G52" s="21"/>
      <c r="H52" s="21"/>
      <c r="I52" s="21"/>
      <c r="J52" s="21"/>
      <c r="K52" s="22"/>
      <c r="L52" s="21"/>
      <c r="M52" s="21"/>
      <c r="N52" s="21"/>
      <c r="O52" s="18"/>
      <c r="P52" s="20"/>
      <c r="Q52" s="18"/>
    </row>
    <row r="53" spans="4:17" s="10" customFormat="1" ht="12.75">
      <c r="D53" s="18"/>
      <c r="E53" s="20"/>
      <c r="F53" s="18"/>
      <c r="G53" s="21"/>
      <c r="H53" s="21"/>
      <c r="I53" s="21"/>
      <c r="J53" s="21"/>
      <c r="K53" s="22"/>
      <c r="L53" s="21"/>
      <c r="M53" s="21"/>
      <c r="N53" s="21"/>
      <c r="O53" s="18"/>
      <c r="P53" s="20"/>
      <c r="Q53" s="18"/>
    </row>
    <row r="54" spans="4:17" s="10" customFormat="1" ht="12.75">
      <c r="D54" s="18"/>
      <c r="E54" s="20"/>
      <c r="F54" s="18"/>
      <c r="G54" s="21"/>
      <c r="H54" s="21"/>
      <c r="I54" s="21"/>
      <c r="J54" s="21"/>
      <c r="K54" s="22"/>
      <c r="L54" s="21"/>
      <c r="M54" s="21"/>
      <c r="N54" s="21"/>
      <c r="O54" s="18"/>
      <c r="P54" s="20"/>
      <c r="Q54" s="18"/>
    </row>
    <row r="55" spans="4:17" s="10" customFormat="1" ht="12.75">
      <c r="D55" s="18"/>
      <c r="E55" s="20"/>
      <c r="F55" s="18"/>
      <c r="G55" s="21"/>
      <c r="H55" s="21"/>
      <c r="I55" s="21"/>
      <c r="J55" s="21"/>
      <c r="K55" s="22"/>
      <c r="L55" s="21"/>
      <c r="M55" s="21"/>
      <c r="N55" s="21"/>
      <c r="O55" s="18"/>
      <c r="P55" s="20"/>
      <c r="Q55" s="18"/>
    </row>
    <row r="56" spans="4:17" s="10" customFormat="1" ht="12.75">
      <c r="D56" s="18"/>
      <c r="E56" s="20"/>
      <c r="F56" s="18"/>
      <c r="G56" s="21"/>
      <c r="H56" s="21"/>
      <c r="I56" s="21"/>
      <c r="J56" s="21"/>
      <c r="K56" s="22"/>
      <c r="L56" s="21"/>
      <c r="M56" s="21"/>
      <c r="N56" s="21"/>
      <c r="O56" s="18"/>
      <c r="P56" s="20"/>
      <c r="Q56" s="18"/>
    </row>
    <row r="57" spans="4:17" s="10" customFormat="1" ht="12.75">
      <c r="D57" s="18"/>
      <c r="E57" s="20"/>
      <c r="F57" s="18"/>
      <c r="G57" s="21"/>
      <c r="H57" s="21"/>
      <c r="I57" s="21"/>
      <c r="J57" s="21"/>
      <c r="K57" s="22"/>
      <c r="L57" s="21"/>
      <c r="M57" s="21"/>
      <c r="N57" s="21"/>
      <c r="O57" s="18"/>
      <c r="P57" s="20"/>
      <c r="Q57" s="18"/>
    </row>
    <row r="58" spans="4:17" s="10" customFormat="1" ht="12.75">
      <c r="D58" s="18"/>
      <c r="E58" s="20"/>
      <c r="F58" s="18"/>
      <c r="G58" s="21"/>
      <c r="H58" s="21"/>
      <c r="I58" s="21"/>
      <c r="J58" s="21"/>
      <c r="K58" s="22"/>
      <c r="L58" s="21"/>
      <c r="M58" s="21"/>
      <c r="N58" s="21"/>
      <c r="O58" s="18"/>
      <c r="P58" s="20"/>
      <c r="Q58" s="18"/>
    </row>
    <row r="59" spans="4:17" s="10" customFormat="1" ht="12.75">
      <c r="D59" s="18"/>
      <c r="E59" s="20"/>
      <c r="F59" s="18"/>
      <c r="G59" s="21"/>
      <c r="H59" s="21"/>
      <c r="I59" s="21"/>
      <c r="J59" s="21"/>
      <c r="K59" s="22"/>
      <c r="L59" s="21"/>
      <c r="M59" s="21"/>
      <c r="N59" s="21"/>
      <c r="O59" s="18"/>
      <c r="P59" s="20"/>
      <c r="Q59" s="18"/>
    </row>
    <row r="60" spans="4:17" s="10" customFormat="1" ht="12.75">
      <c r="D60" s="18"/>
      <c r="E60" s="20"/>
      <c r="F60" s="18"/>
      <c r="G60" s="21"/>
      <c r="H60" s="21"/>
      <c r="I60" s="21"/>
      <c r="J60" s="21"/>
      <c r="K60" s="22"/>
      <c r="L60" s="21"/>
      <c r="M60" s="21"/>
      <c r="N60" s="21"/>
      <c r="O60" s="18"/>
      <c r="P60" s="20"/>
      <c r="Q60" s="18"/>
    </row>
    <row r="61" spans="4:17" s="10" customFormat="1" ht="12.75">
      <c r="D61" s="18"/>
      <c r="E61" s="20"/>
      <c r="F61" s="18"/>
      <c r="G61" s="21"/>
      <c r="H61" s="21"/>
      <c r="I61" s="21"/>
      <c r="J61" s="21"/>
      <c r="K61" s="22"/>
      <c r="L61" s="21"/>
      <c r="M61" s="21"/>
      <c r="N61" s="21"/>
      <c r="O61" s="18"/>
      <c r="P61" s="20"/>
      <c r="Q61" s="18"/>
    </row>
    <row r="62" spans="4:17" s="10" customFormat="1" ht="12.75">
      <c r="D62" s="18"/>
      <c r="E62" s="20"/>
      <c r="F62" s="18"/>
      <c r="G62" s="21"/>
      <c r="H62" s="21"/>
      <c r="I62" s="21"/>
      <c r="J62" s="21"/>
      <c r="K62" s="22"/>
      <c r="L62" s="21"/>
      <c r="M62" s="21"/>
      <c r="N62" s="21"/>
      <c r="O62" s="18"/>
      <c r="P62" s="20"/>
      <c r="Q62" s="18"/>
    </row>
    <row r="63" spans="4:17" s="10" customFormat="1" ht="12.75">
      <c r="D63" s="18"/>
      <c r="E63" s="20"/>
      <c r="F63" s="18"/>
      <c r="G63" s="21"/>
      <c r="H63" s="21"/>
      <c r="I63" s="21"/>
      <c r="J63" s="21"/>
      <c r="K63" s="22"/>
      <c r="L63" s="21"/>
      <c r="M63" s="21"/>
      <c r="N63" s="21"/>
      <c r="O63" s="18"/>
      <c r="P63" s="20"/>
      <c r="Q63" s="18"/>
    </row>
    <row r="64" spans="4:17" s="10" customFormat="1" ht="12.75">
      <c r="D64" s="18"/>
      <c r="E64" s="20"/>
      <c r="F64" s="18"/>
      <c r="G64" s="21"/>
      <c r="H64" s="21"/>
      <c r="I64" s="21"/>
      <c r="J64" s="21"/>
      <c r="K64" s="22"/>
      <c r="L64" s="21"/>
      <c r="M64" s="21"/>
      <c r="N64" s="21"/>
      <c r="O64" s="18"/>
      <c r="P64" s="20"/>
      <c r="Q64" s="18"/>
    </row>
    <row r="65" spans="4:17" s="10" customFormat="1" ht="12.75">
      <c r="D65" s="18"/>
      <c r="E65" s="20"/>
      <c r="F65" s="18"/>
      <c r="G65" s="21"/>
      <c r="H65" s="21"/>
      <c r="I65" s="21"/>
      <c r="J65" s="21"/>
      <c r="K65" s="22"/>
      <c r="L65" s="21"/>
      <c r="M65" s="21"/>
      <c r="N65" s="21"/>
      <c r="O65" s="18"/>
      <c r="P65" s="20"/>
      <c r="Q65" s="18"/>
    </row>
    <row r="66" spans="4:17" s="10" customFormat="1" ht="12.75">
      <c r="D66" s="18"/>
      <c r="E66" s="20"/>
      <c r="F66" s="18"/>
      <c r="G66" s="21"/>
      <c r="H66" s="21"/>
      <c r="I66" s="21"/>
      <c r="J66" s="21"/>
      <c r="K66" s="22"/>
      <c r="L66" s="21"/>
      <c r="M66" s="21"/>
      <c r="N66" s="21"/>
      <c r="O66" s="18"/>
      <c r="P66" s="20"/>
      <c r="Q66" s="18"/>
    </row>
    <row r="67" spans="2:17" s="10" customFormat="1" ht="12.75">
      <c r="B67" s="75" t="s">
        <v>119</v>
      </c>
      <c r="D67" s="18"/>
      <c r="E67" s="20"/>
      <c r="F67" s="18"/>
      <c r="G67" s="21"/>
      <c r="H67" s="21">
        <f>VLOOKUP(N2,datos!A3:F54,5)</f>
        <v>2.6</v>
      </c>
      <c r="I67" s="21" t="s">
        <v>12</v>
      </c>
      <c r="J67" s="21"/>
      <c r="K67" s="22"/>
      <c r="L67" s="21"/>
      <c r="M67" s="21"/>
      <c r="N67" s="21"/>
      <c r="O67" s="18"/>
      <c r="P67" s="20"/>
      <c r="Q67" s="18"/>
    </row>
    <row r="68" spans="2:17" s="10" customFormat="1" ht="12.75">
      <c r="B68" s="75" t="s">
        <v>117</v>
      </c>
      <c r="D68" s="18"/>
      <c r="E68" s="20"/>
      <c r="F68" s="18"/>
      <c r="G68" s="21"/>
      <c r="H68" s="21">
        <f>+N3/100</f>
        <v>0</v>
      </c>
      <c r="I68" s="21" t="s">
        <v>12</v>
      </c>
      <c r="J68" s="21"/>
      <c r="K68" s="22"/>
      <c r="L68" s="21"/>
      <c r="M68" s="21"/>
      <c r="N68" s="21"/>
      <c r="O68" s="18"/>
      <c r="P68" s="20"/>
      <c r="Q68" s="18"/>
    </row>
    <row r="69" spans="2:17" s="10" customFormat="1" ht="12.75">
      <c r="B69" s="75" t="s">
        <v>118</v>
      </c>
      <c r="D69" s="18"/>
      <c r="E69" s="20"/>
      <c r="F69" s="18"/>
      <c r="G69" s="21"/>
      <c r="H69" s="21">
        <f>+H67-H68</f>
        <v>2.6</v>
      </c>
      <c r="I69" s="21" t="s">
        <v>12</v>
      </c>
      <c r="J69" s="21"/>
      <c r="K69" s="22"/>
      <c r="L69" s="21"/>
      <c r="M69" s="21"/>
      <c r="N69" s="21"/>
      <c r="O69" s="18"/>
      <c r="P69" s="20"/>
      <c r="Q69" s="18"/>
    </row>
    <row r="70" spans="2:23" s="10" customFormat="1" ht="12.75">
      <c r="B70" s="75" t="s">
        <v>120</v>
      </c>
      <c r="D70" s="18"/>
      <c r="E70" s="20"/>
      <c r="F70" s="18"/>
      <c r="G70" s="21"/>
      <c r="H70" s="21">
        <f>VLOOKUP(N2,datos!A3:F54,6)</f>
        <v>86</v>
      </c>
      <c r="I70" s="27" t="s">
        <v>19</v>
      </c>
      <c r="J70" s="75" t="s">
        <v>18</v>
      </c>
      <c r="K70" s="22"/>
      <c r="L70" s="73"/>
      <c r="M70" s="21"/>
      <c r="N70" s="21"/>
      <c r="O70" s="18"/>
      <c r="T70" s="21"/>
      <c r="V70" s="24" t="e">
        <f>+V71-0.1</f>
        <v>#REF!</v>
      </c>
      <c r="W70" s="24" t="e">
        <f>0.01*610.5*EXP(1)^((21.875*V70)/(265.5+V70))</f>
        <v>#REF!</v>
      </c>
    </row>
    <row r="71" spans="2:23" s="10" customFormat="1" ht="12.75">
      <c r="B71" s="75" t="s">
        <v>121</v>
      </c>
      <c r="D71" s="18"/>
      <c r="E71" s="20"/>
      <c r="F71" s="18"/>
      <c r="G71" s="21"/>
      <c r="H71" s="21">
        <f>EXP(1)^((17.269*H67)/(237.3+H67))*610.5</f>
        <v>736.1523611406806</v>
      </c>
      <c r="I71" s="21" t="s">
        <v>16</v>
      </c>
      <c r="J71" s="75" t="s">
        <v>11</v>
      </c>
      <c r="K71" s="22"/>
      <c r="L71" s="73"/>
      <c r="M71" s="21"/>
      <c r="N71" s="21"/>
      <c r="O71" s="18"/>
      <c r="T71" s="21"/>
      <c r="V71" s="24" t="e">
        <f>+V72-0.1</f>
        <v>#REF!</v>
      </c>
      <c r="W71" s="24" t="e">
        <f>0.01*610.5*EXP(1)^((21.875*V71)/(265.5+V71))</f>
        <v>#REF!</v>
      </c>
    </row>
    <row r="72" spans="2:23" s="10" customFormat="1" ht="12.75">
      <c r="B72" s="75" t="s">
        <v>122</v>
      </c>
      <c r="C72" s="35"/>
      <c r="D72" s="21"/>
      <c r="E72" s="22"/>
      <c r="F72" s="21"/>
      <c r="G72" s="21"/>
      <c r="H72" s="21">
        <f>H71*H70/100</f>
        <v>633.0910305809853</v>
      </c>
      <c r="I72" s="21" t="s">
        <v>16</v>
      </c>
      <c r="J72" s="82" t="s">
        <v>17</v>
      </c>
      <c r="K72" s="22"/>
      <c r="L72" s="73"/>
      <c r="M72" s="21"/>
      <c r="N72" s="21"/>
      <c r="O72" s="18"/>
      <c r="T72" s="21"/>
      <c r="V72" s="24" t="e">
        <f>+#REF!-0.1</f>
        <v>#REF!</v>
      </c>
      <c r="W72" s="24" t="e">
        <f>0.01*610.5*EXP(1)^((21.875*V72)/(265.5+V72))</f>
        <v>#REF!</v>
      </c>
    </row>
    <row r="73" spans="2:17" s="10" customFormat="1" ht="12.75">
      <c r="B73" s="35"/>
      <c r="C73" s="35"/>
      <c r="D73" s="21"/>
      <c r="E73" s="22"/>
      <c r="F73" s="21"/>
      <c r="G73" s="21"/>
      <c r="H73" s="21"/>
      <c r="I73" s="21"/>
      <c r="J73" s="21"/>
      <c r="K73" s="22"/>
      <c r="L73" s="21"/>
      <c r="M73" s="21"/>
      <c r="N73" s="21"/>
      <c r="O73" s="18"/>
      <c r="P73" s="20"/>
      <c r="Q73" s="18"/>
    </row>
    <row r="74" spans="4:17" s="10" customFormat="1" ht="12.75">
      <c r="D74" s="18"/>
      <c r="E74" s="20"/>
      <c r="F74" s="18"/>
      <c r="G74" s="21"/>
      <c r="H74" s="21"/>
      <c r="I74" s="21"/>
      <c r="J74" s="21"/>
      <c r="K74" s="22"/>
      <c r="L74" s="21"/>
      <c r="M74" s="21"/>
      <c r="N74" s="21"/>
      <c r="O74" s="18"/>
      <c r="P74" s="20"/>
      <c r="Q74" s="18"/>
    </row>
    <row r="75" spans="2:17" s="10" customFormat="1" ht="12.75">
      <c r="B75" s="75" t="s">
        <v>130</v>
      </c>
      <c r="C75" s="35"/>
      <c r="D75" s="21"/>
      <c r="E75" s="22"/>
      <c r="F75" s="21"/>
      <c r="G75" s="21"/>
      <c r="H75" s="21">
        <f>EXP(1)^((17.269*H69)/(237.3+H69))*610.5</f>
        <v>736.1523611406806</v>
      </c>
      <c r="I75" s="21" t="s">
        <v>16</v>
      </c>
      <c r="J75" s="35" t="s">
        <v>20</v>
      </c>
      <c r="K75" s="22"/>
      <c r="L75" s="21"/>
      <c r="M75" s="21"/>
      <c r="N75" s="21"/>
      <c r="O75" s="18"/>
      <c r="P75" s="20"/>
      <c r="Q75" s="18"/>
    </row>
    <row r="76" spans="2:17" s="10" customFormat="1" ht="12.75">
      <c r="B76" s="75" t="s">
        <v>129</v>
      </c>
      <c r="D76" s="18"/>
      <c r="E76" s="20"/>
      <c r="F76" s="18"/>
      <c r="G76" s="21"/>
      <c r="H76" s="29">
        <f>H72/H75</f>
        <v>0.86</v>
      </c>
      <c r="I76" s="21"/>
      <c r="J76" s="28" t="s">
        <v>21</v>
      </c>
      <c r="K76" s="22"/>
      <c r="L76" s="21"/>
      <c r="M76" s="21"/>
      <c r="N76" s="21"/>
      <c r="O76" s="18"/>
      <c r="P76" s="20"/>
      <c r="Q76" s="18"/>
    </row>
    <row r="77" spans="2:17" s="10" customFormat="1" ht="12.75">
      <c r="B77" s="28"/>
      <c r="D77" s="18"/>
      <c r="E77" s="20"/>
      <c r="F77" s="18"/>
      <c r="G77" s="21"/>
      <c r="H77" s="29"/>
      <c r="I77" s="21"/>
      <c r="J77" s="21"/>
      <c r="K77" s="22"/>
      <c r="L77" s="21"/>
      <c r="M77" s="21"/>
      <c r="N77" s="21"/>
      <c r="O77" s="18"/>
      <c r="P77" s="20"/>
      <c r="Q77" s="18"/>
    </row>
    <row r="78" spans="2:17" s="10" customFormat="1" ht="12.75">
      <c r="B78" s="75" t="s">
        <v>128</v>
      </c>
      <c r="D78" s="18"/>
      <c r="E78" s="20"/>
      <c r="F78" s="18"/>
      <c r="G78" s="21"/>
      <c r="H78" s="21">
        <v>5</v>
      </c>
      <c r="I78" s="31" t="s">
        <v>23</v>
      </c>
      <c r="J78" s="21">
        <v>70</v>
      </c>
      <c r="K78" s="30" t="s">
        <v>19</v>
      </c>
      <c r="L78" s="21"/>
      <c r="M78" s="21"/>
      <c r="N78" s="21"/>
      <c r="O78" s="18"/>
      <c r="P78" s="20"/>
      <c r="Q78" s="18"/>
    </row>
    <row r="79" spans="4:17" s="10" customFormat="1" ht="12.75">
      <c r="D79" s="18"/>
      <c r="E79" s="20"/>
      <c r="F79" s="18"/>
      <c r="G79" s="21"/>
      <c r="H79" s="21">
        <v>4</v>
      </c>
      <c r="I79" s="31" t="s">
        <v>23</v>
      </c>
      <c r="J79" s="21">
        <v>62</v>
      </c>
      <c r="K79" s="30" t="s">
        <v>19</v>
      </c>
      <c r="L79" s="21"/>
      <c r="M79" s="21"/>
      <c r="N79" s="21"/>
      <c r="O79" s="18"/>
      <c r="P79" s="20"/>
      <c r="Q79" s="18"/>
    </row>
    <row r="80" spans="4:17" s="10" customFormat="1" ht="12.75">
      <c r="D80" s="18"/>
      <c r="E80" s="20"/>
      <c r="F80" s="18"/>
      <c r="G80" s="21"/>
      <c r="H80" s="21">
        <v>3</v>
      </c>
      <c r="I80" s="31" t="s">
        <v>23</v>
      </c>
      <c r="J80" s="21">
        <v>55</v>
      </c>
      <c r="K80" s="30" t="s">
        <v>19</v>
      </c>
      <c r="L80" s="21"/>
      <c r="M80" s="21"/>
      <c r="N80" s="21"/>
      <c r="O80" s="18"/>
      <c r="P80" s="20"/>
      <c r="Q80" s="18"/>
    </row>
    <row r="81" spans="2:17" s="10" customFormat="1" ht="12.75">
      <c r="B81" s="28"/>
      <c r="D81" s="18"/>
      <c r="E81" s="20"/>
      <c r="F81" s="18"/>
      <c r="G81" s="21"/>
      <c r="H81" s="29"/>
      <c r="I81" s="21"/>
      <c r="J81" s="21"/>
      <c r="K81" s="22"/>
      <c r="L81" s="21"/>
      <c r="M81" s="21"/>
      <c r="N81" s="21"/>
      <c r="O81" s="18"/>
      <c r="P81" s="20"/>
      <c r="Q81" s="18"/>
    </row>
    <row r="82" spans="2:23" s="10" customFormat="1" ht="12.75">
      <c r="B82" s="121" t="s">
        <v>45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3"/>
      <c r="V82" s="24" t="e">
        <f>+#REF!-0.1</f>
        <v>#REF!</v>
      </c>
      <c r="W82" s="24" t="e">
        <f>0.01*610.5*EXP(1)^((21.875*V82)/(265.5+V82))</f>
        <v>#REF!</v>
      </c>
    </row>
    <row r="83" spans="2:18" s="10" customFormat="1" ht="12.75">
      <c r="B83" s="83" t="s">
        <v>22</v>
      </c>
      <c r="C83" s="84"/>
      <c r="D83" s="84"/>
      <c r="E83" s="85"/>
      <c r="F83" s="84"/>
      <c r="G83" s="86"/>
      <c r="H83" s="86"/>
      <c r="I83" s="86"/>
      <c r="J83" s="86"/>
      <c r="K83" s="87"/>
      <c r="L83" s="86"/>
      <c r="M83" s="86"/>
      <c r="N83" s="86"/>
      <c r="O83" s="84"/>
      <c r="P83" s="85"/>
      <c r="Q83" s="84">
        <v>20</v>
      </c>
      <c r="R83" s="88" t="s">
        <v>12</v>
      </c>
    </row>
    <row r="84" spans="2:18" s="10" customFormat="1" ht="12.75">
      <c r="B84" s="50"/>
      <c r="C84" s="18"/>
      <c r="D84" s="18"/>
      <c r="E84" s="20"/>
      <c r="F84" s="18"/>
      <c r="G84" s="21"/>
      <c r="H84" s="21">
        <f>LN(A15*2337/0.8/610.5)</f>
        <v>1.2088136483635759</v>
      </c>
      <c r="I84" s="21"/>
      <c r="J84" s="21"/>
      <c r="K84" s="22"/>
      <c r="L84" s="21"/>
      <c r="M84" s="21"/>
      <c r="N84" s="21"/>
      <c r="O84" s="18"/>
      <c r="P84" s="20"/>
      <c r="Q84" s="18"/>
      <c r="R84" s="51"/>
    </row>
    <row r="85" spans="2:18" s="10" customFormat="1" ht="12.75">
      <c r="B85" s="89" t="s">
        <v>126</v>
      </c>
      <c r="C85" s="18"/>
      <c r="D85" s="18"/>
      <c r="E85" s="20"/>
      <c r="F85" s="18"/>
      <c r="G85" s="21"/>
      <c r="H85" s="18">
        <f>+H84*237.3/(17.269-H84)</f>
        <v>17.86103053078512</v>
      </c>
      <c r="I85" s="21" t="s">
        <v>12</v>
      </c>
      <c r="J85" s="92" t="s">
        <v>40</v>
      </c>
      <c r="K85" s="21"/>
      <c r="L85" s="18"/>
      <c r="M85" s="21"/>
      <c r="N85" s="21"/>
      <c r="O85" s="18"/>
      <c r="P85" s="20"/>
      <c r="Q85" s="18"/>
      <c r="R85" s="51"/>
    </row>
    <row r="86" spans="2:18" s="10" customFormat="1" ht="12.75">
      <c r="B86" s="89" t="s">
        <v>125</v>
      </c>
      <c r="C86" s="18"/>
      <c r="D86" s="18"/>
      <c r="E86" s="20"/>
      <c r="F86" s="18"/>
      <c r="G86" s="21"/>
      <c r="H86" s="93">
        <f>+E113</f>
        <v>19.122310281435542</v>
      </c>
      <c r="I86" s="21" t="s">
        <v>12</v>
      </c>
      <c r="J86" s="92" t="s">
        <v>127</v>
      </c>
      <c r="K86" s="21"/>
      <c r="L86" s="18"/>
      <c r="M86" s="21"/>
      <c r="N86" s="21"/>
      <c r="O86" s="18"/>
      <c r="P86" s="20"/>
      <c r="Q86" s="18"/>
      <c r="R86" s="51"/>
    </row>
    <row r="87" spans="2:18" s="10" customFormat="1" ht="12.75">
      <c r="B87" s="52"/>
      <c r="C87" s="18"/>
      <c r="D87" s="18"/>
      <c r="E87" s="20"/>
      <c r="F87" s="18"/>
      <c r="G87" s="21"/>
      <c r="H87" s="94">
        <f>+E113</f>
        <v>19.122310281435542</v>
      </c>
      <c r="I87" s="21" t="s">
        <v>41</v>
      </c>
      <c r="J87" s="21">
        <f>+H85</f>
        <v>17.86103053078512</v>
      </c>
      <c r="K87" s="18"/>
      <c r="L87" s="18"/>
      <c r="M87" s="95"/>
      <c r="N87" s="95"/>
      <c r="O87" s="95"/>
      <c r="P87" s="96"/>
      <c r="Q87" s="18"/>
      <c r="R87" s="51"/>
    </row>
    <row r="88" spans="2:18" s="10" customFormat="1" ht="12.75">
      <c r="B88" s="52"/>
      <c r="C88" s="18"/>
      <c r="D88" s="18"/>
      <c r="E88" s="20"/>
      <c r="F88" s="18"/>
      <c r="G88" s="21"/>
      <c r="H88" s="92" t="s">
        <v>131</v>
      </c>
      <c r="I88" s="21"/>
      <c r="J88" s="92" t="s">
        <v>127</v>
      </c>
      <c r="K88" s="18"/>
      <c r="L88" s="69" t="str">
        <f>IF(H87&gt;J87,"CUMPLE CONDICIÓN","NO CUMPLE CONDICIÓN")</f>
        <v>CUMPLE CONDICIÓN</v>
      </c>
      <c r="M88" s="69"/>
      <c r="N88" s="69"/>
      <c r="O88" s="69"/>
      <c r="P88" s="70"/>
      <c r="Q88" s="18"/>
      <c r="R88" s="51"/>
    </row>
    <row r="89" spans="2:18" s="10" customFormat="1" ht="18">
      <c r="B89" s="89" t="s">
        <v>124</v>
      </c>
      <c r="C89" s="18"/>
      <c r="D89" s="18"/>
      <c r="E89" s="20"/>
      <c r="F89" s="18"/>
      <c r="G89" s="21"/>
      <c r="H89" s="18">
        <f>(H85-H69)/(20-H69)</f>
        <v>0.8770707201600644</v>
      </c>
      <c r="I89" s="46" t="s">
        <v>43</v>
      </c>
      <c r="J89" s="21"/>
      <c r="K89" s="18"/>
      <c r="L89" s="18"/>
      <c r="M89" s="21"/>
      <c r="N89" s="21"/>
      <c r="O89" s="18"/>
      <c r="P89" s="20"/>
      <c r="Q89" s="18"/>
      <c r="R89" s="51"/>
    </row>
    <row r="90" spans="2:18" s="10" customFormat="1" ht="18">
      <c r="B90" s="89" t="s">
        <v>123</v>
      </c>
      <c r="C90" s="18"/>
      <c r="D90" s="18"/>
      <c r="E90" s="20"/>
      <c r="F90" s="18"/>
      <c r="G90" s="21"/>
      <c r="H90" s="18">
        <f>1-0.25*D108</f>
        <v>0.9029962733682073</v>
      </c>
      <c r="I90" s="46" t="s">
        <v>42</v>
      </c>
      <c r="J90" s="21"/>
      <c r="K90" s="18"/>
      <c r="L90" s="18"/>
      <c r="M90" s="21"/>
      <c r="N90" s="21"/>
      <c r="O90" s="18"/>
      <c r="P90" s="20"/>
      <c r="Q90" s="18"/>
      <c r="R90" s="51"/>
    </row>
    <row r="91" spans="2:18" s="10" customFormat="1" ht="18">
      <c r="B91" s="90"/>
      <c r="C91" s="53"/>
      <c r="D91" s="53"/>
      <c r="E91" s="54"/>
      <c r="F91" s="53"/>
      <c r="G91" s="55"/>
      <c r="H91" s="91" t="s">
        <v>44</v>
      </c>
      <c r="I91" s="55"/>
      <c r="J91" s="53"/>
      <c r="K91" s="53"/>
      <c r="L91" s="67" t="str">
        <f>IF(H90&gt;H89,"CUMPLE CONDICIÓN","NO CUMPLE CONDICIÓN")</f>
        <v>CUMPLE CONDICIÓN</v>
      </c>
      <c r="M91" s="67"/>
      <c r="N91" s="67"/>
      <c r="O91" s="67"/>
      <c r="P91" s="68"/>
      <c r="Q91" s="53"/>
      <c r="R91" s="56"/>
    </row>
    <row r="92" spans="4:17" s="10" customFormat="1" ht="12.75">
      <c r="D92" s="18"/>
      <c r="E92" s="20"/>
      <c r="F92" s="18"/>
      <c r="G92" s="21"/>
      <c r="H92" s="21"/>
      <c r="I92" s="21"/>
      <c r="J92" s="21"/>
      <c r="K92" s="22"/>
      <c r="L92" s="21"/>
      <c r="M92" s="21"/>
      <c r="N92" s="21"/>
      <c r="O92" s="18"/>
      <c r="P92" s="20"/>
      <c r="Q92" s="18"/>
    </row>
    <row r="93" spans="4:17" s="10" customFormat="1" ht="12.75">
      <c r="D93" s="18"/>
      <c r="E93" s="20"/>
      <c r="F93" s="18"/>
      <c r="G93" s="21"/>
      <c r="H93" s="21"/>
      <c r="I93" s="31"/>
      <c r="J93" s="21"/>
      <c r="K93" s="30"/>
      <c r="L93" s="21"/>
      <c r="M93" s="21"/>
      <c r="N93" s="21"/>
      <c r="O93" s="18"/>
      <c r="P93" s="20"/>
      <c r="Q93" s="18"/>
    </row>
    <row r="94" spans="2:19" s="10" customFormat="1" ht="12.75">
      <c r="B94" s="121" t="s">
        <v>46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3"/>
    </row>
    <row r="95" spans="2:19" s="10" customFormat="1" ht="12.75">
      <c r="B95" s="89" t="s">
        <v>118</v>
      </c>
      <c r="C95" s="18"/>
      <c r="D95" s="18"/>
      <c r="E95" s="20"/>
      <c r="F95" s="18"/>
      <c r="G95" s="21"/>
      <c r="H95" s="21">
        <f>+Q83</f>
        <v>20</v>
      </c>
      <c r="I95" s="18" t="s">
        <v>12</v>
      </c>
      <c r="J95" s="21"/>
      <c r="K95" s="22"/>
      <c r="L95" s="21"/>
      <c r="M95" s="21"/>
      <c r="N95" s="21"/>
      <c r="O95" s="18"/>
      <c r="P95" s="20"/>
      <c r="Q95" s="18"/>
      <c r="R95" s="18"/>
      <c r="S95" s="51"/>
    </row>
    <row r="96" spans="2:19" s="10" customFormat="1" ht="12.75">
      <c r="B96" s="57" t="s">
        <v>24</v>
      </c>
      <c r="C96" s="19"/>
      <c r="D96" s="19"/>
      <c r="E96" s="32"/>
      <c r="F96" s="19"/>
      <c r="G96" s="19"/>
      <c r="H96" s="19">
        <f>EXP(1)^((17.269*H95)/(237.3+H95))*610.5</f>
        <v>2336.951143802342</v>
      </c>
      <c r="I96" s="19" t="s">
        <v>16</v>
      </c>
      <c r="J96" s="21"/>
      <c r="K96" s="22"/>
      <c r="L96" s="21"/>
      <c r="M96" s="21"/>
      <c r="N96" s="21"/>
      <c r="O96" s="18"/>
      <c r="P96" s="20"/>
      <c r="Q96" s="18"/>
      <c r="R96" s="18"/>
      <c r="S96" s="51"/>
    </row>
    <row r="97" spans="2:19" s="10" customFormat="1" ht="12.75">
      <c r="B97" s="58" t="s">
        <v>25</v>
      </c>
      <c r="C97" s="33"/>
      <c r="D97" s="33"/>
      <c r="E97" s="34"/>
      <c r="F97" s="33"/>
      <c r="G97" s="33"/>
      <c r="H97" s="33">
        <f>+J78*H96/100</f>
        <v>1635.8658006616395</v>
      </c>
      <c r="I97" s="33" t="s">
        <v>16</v>
      </c>
      <c r="J97" s="21" t="s">
        <v>26</v>
      </c>
      <c r="K97" s="22"/>
      <c r="L97" s="21"/>
      <c r="M97" s="21"/>
      <c r="N97" s="21"/>
      <c r="O97" s="18"/>
      <c r="P97" s="20"/>
      <c r="Q97" s="18"/>
      <c r="R97" s="18"/>
      <c r="S97" s="51"/>
    </row>
    <row r="98" spans="2:19" s="10" customFormat="1" ht="12.75">
      <c r="B98" s="50"/>
      <c r="C98" s="18"/>
      <c r="D98" s="18"/>
      <c r="E98" s="18"/>
      <c r="F98" s="18"/>
      <c r="G98" s="18"/>
      <c r="H98" s="18"/>
      <c r="I98" s="22"/>
      <c r="J98" s="37" t="s">
        <v>36</v>
      </c>
      <c r="K98" s="22" t="s">
        <v>38</v>
      </c>
      <c r="L98" s="59" t="s">
        <v>35</v>
      </c>
      <c r="M98" s="18"/>
      <c r="N98" s="18"/>
      <c r="O98" s="18"/>
      <c r="P98" s="20"/>
      <c r="Q98" s="18"/>
      <c r="R98" s="18"/>
      <c r="S98" s="51"/>
    </row>
    <row r="99" spans="2:23" s="10" customFormat="1" ht="12.75">
      <c r="B99" s="50" t="s">
        <v>27</v>
      </c>
      <c r="C99" s="18"/>
      <c r="D99" s="18"/>
      <c r="E99" s="21">
        <v>30</v>
      </c>
      <c r="F99" s="21" t="s">
        <v>28</v>
      </c>
      <c r="G99" s="18"/>
      <c r="H99" s="21" t="s">
        <v>30</v>
      </c>
      <c r="I99" s="22">
        <f>+L99*E99/10</f>
        <v>30</v>
      </c>
      <c r="J99" s="21">
        <v>1.8</v>
      </c>
      <c r="K99" s="21">
        <f>+E99/(1000*J99)</f>
        <v>0.016666666666666666</v>
      </c>
      <c r="L99" s="20">
        <v>10</v>
      </c>
      <c r="M99" s="18"/>
      <c r="N99" s="18"/>
      <c r="O99" s="18"/>
      <c r="P99" s="20"/>
      <c r="Q99" s="18"/>
      <c r="R99" s="18"/>
      <c r="S99" s="51"/>
      <c r="T99" s="36"/>
      <c r="V99" s="24" t="e">
        <f>+V100-0.1</f>
        <v>#REF!</v>
      </c>
      <c r="W99" s="24" t="e">
        <f>0.01*610.5*EXP(1)^((21.875*V99)/(265.5+V99))</f>
        <v>#REF!</v>
      </c>
    </row>
    <row r="100" spans="2:23" s="10" customFormat="1" ht="12.75">
      <c r="B100" s="50" t="s">
        <v>29</v>
      </c>
      <c r="C100" s="18"/>
      <c r="D100" s="18"/>
      <c r="E100" s="21">
        <f>+O4</f>
        <v>80</v>
      </c>
      <c r="F100" s="21" t="s">
        <v>28</v>
      </c>
      <c r="G100" s="18"/>
      <c r="H100" s="21" t="s">
        <v>31</v>
      </c>
      <c r="I100" s="22">
        <f>+L100*E100/10</f>
        <v>320</v>
      </c>
      <c r="J100" s="21">
        <v>0.0337</v>
      </c>
      <c r="K100" s="21">
        <f>+E100/(1000*J100)</f>
        <v>2.373887240356083</v>
      </c>
      <c r="L100" s="20">
        <v>40</v>
      </c>
      <c r="M100" s="18"/>
      <c r="N100" s="18"/>
      <c r="O100" s="18"/>
      <c r="P100" s="20"/>
      <c r="Q100" s="18"/>
      <c r="R100" s="18"/>
      <c r="S100" s="51"/>
      <c r="V100" s="24" t="e">
        <f>+#REF!-0.1</f>
        <v>#REF!</v>
      </c>
      <c r="W100" s="24" t="e">
        <f>0.01*610.5*EXP(1)^((21.875*V100)/(265.5+V100))</f>
        <v>#REF!</v>
      </c>
    </row>
    <row r="101" spans="2:19" s="10" customFormat="1" ht="12.75">
      <c r="B101" s="90" t="s">
        <v>27</v>
      </c>
      <c r="C101" s="53"/>
      <c r="D101" s="53"/>
      <c r="E101" s="55">
        <v>30</v>
      </c>
      <c r="F101" s="55" t="s">
        <v>28</v>
      </c>
      <c r="G101" s="53"/>
      <c r="H101" s="55" t="s">
        <v>32</v>
      </c>
      <c r="I101" s="61">
        <f>+L101*E101/10</f>
        <v>30</v>
      </c>
      <c r="J101" s="55">
        <f>+J99</f>
        <v>1.8</v>
      </c>
      <c r="K101" s="55">
        <f>+E101/(1000*J101)</f>
        <v>0.016666666666666666</v>
      </c>
      <c r="L101" s="54">
        <v>10</v>
      </c>
      <c r="M101" s="53"/>
      <c r="N101" s="53"/>
      <c r="O101" s="53"/>
      <c r="P101" s="54"/>
      <c r="Q101" s="53"/>
      <c r="R101" s="53"/>
      <c r="S101" s="56"/>
    </row>
    <row r="102" spans="2:19" s="10" customFormat="1" ht="12.75">
      <c r="B102" s="18"/>
      <c r="C102" s="18"/>
      <c r="D102" s="18"/>
      <c r="E102" s="20"/>
      <c r="F102" s="18"/>
      <c r="G102" s="21"/>
      <c r="H102" s="21"/>
      <c r="I102" s="21"/>
      <c r="J102" s="21"/>
      <c r="K102" s="22"/>
      <c r="L102" s="21"/>
      <c r="M102" s="21"/>
      <c r="N102" s="21"/>
      <c r="O102" s="18"/>
      <c r="P102" s="20"/>
      <c r="Q102" s="18"/>
      <c r="R102" s="18"/>
      <c r="S102" s="18"/>
    </row>
    <row r="103" spans="2:19" s="10" customFormat="1" ht="12.75">
      <c r="B103" s="18" t="s">
        <v>33</v>
      </c>
      <c r="C103" s="131">
        <v>0.04</v>
      </c>
      <c r="D103" s="131"/>
      <c r="E103" s="21" t="s">
        <v>0</v>
      </c>
      <c r="F103" s="18"/>
      <c r="G103" s="21"/>
      <c r="H103" s="21"/>
      <c r="I103" s="21"/>
      <c r="J103" s="21"/>
      <c r="K103" s="22"/>
      <c r="L103" s="21"/>
      <c r="M103" s="21"/>
      <c r="N103" s="21"/>
      <c r="O103" s="18"/>
      <c r="P103" s="20"/>
      <c r="Q103" s="18"/>
      <c r="R103" s="18"/>
      <c r="S103" s="18"/>
    </row>
    <row r="104" spans="2:19" s="10" customFormat="1" ht="12.75">
      <c r="B104" s="18" t="s">
        <v>34</v>
      </c>
      <c r="C104" s="131">
        <v>0.13</v>
      </c>
      <c r="D104" s="131"/>
      <c r="E104" s="21" t="s">
        <v>0</v>
      </c>
      <c r="F104" s="18"/>
      <c r="G104" s="21"/>
      <c r="H104" s="21"/>
      <c r="I104" s="21"/>
      <c r="J104" s="21"/>
      <c r="K104" s="22"/>
      <c r="L104" s="21"/>
      <c r="M104" s="21"/>
      <c r="N104" s="21"/>
      <c r="O104" s="18"/>
      <c r="P104" s="20"/>
      <c r="Q104" s="18"/>
      <c r="R104" s="18"/>
      <c r="S104" s="18"/>
    </row>
    <row r="105" spans="2:19" s="10" customFormat="1" ht="13.5" thickBot="1">
      <c r="B105" s="18"/>
      <c r="C105" s="20"/>
      <c r="D105" s="20"/>
      <c r="E105" s="21"/>
      <c r="F105" s="18"/>
      <c r="G105" s="21"/>
      <c r="H105" s="21"/>
      <c r="I105" s="21"/>
      <c r="J105" s="21"/>
      <c r="K105" s="22"/>
      <c r="L105" s="21"/>
      <c r="M105" s="21"/>
      <c r="N105" s="21"/>
      <c r="O105" s="18"/>
      <c r="P105" s="20"/>
      <c r="Q105" s="18"/>
      <c r="R105" s="18"/>
      <c r="S105" s="18"/>
    </row>
    <row r="106" spans="2:19" ht="12.75">
      <c r="B106" s="43"/>
      <c r="C106" s="44"/>
      <c r="D106" s="44"/>
      <c r="E106" s="44"/>
      <c r="F106" s="44"/>
      <c r="G106" s="45"/>
      <c r="H106" s="21"/>
      <c r="I106" s="21"/>
      <c r="J106" s="21"/>
      <c r="K106" s="22"/>
      <c r="L106" s="21"/>
      <c r="M106" s="21"/>
      <c r="N106" s="21"/>
      <c r="O106" s="21"/>
      <c r="P106" s="22"/>
      <c r="Q106" s="21"/>
      <c r="R106" s="48"/>
      <c r="S106" s="48"/>
    </row>
    <row r="107" spans="2:19" ht="18">
      <c r="B107" s="1"/>
      <c r="C107" s="46" t="s">
        <v>37</v>
      </c>
      <c r="D107" s="132">
        <f>+C103+C104+K99+K100+K101</f>
        <v>2.577220573689416</v>
      </c>
      <c r="E107" s="132"/>
      <c r="F107" s="21" t="s">
        <v>0</v>
      </c>
      <c r="G107" s="42"/>
      <c r="H107" s="21"/>
      <c r="I107" s="21"/>
      <c r="J107" s="21"/>
      <c r="K107" s="22"/>
      <c r="L107" s="21"/>
      <c r="M107" s="21"/>
      <c r="N107" s="21"/>
      <c r="O107" s="21"/>
      <c r="P107" s="22"/>
      <c r="Q107" s="21"/>
      <c r="R107" s="48"/>
      <c r="S107" s="48"/>
    </row>
    <row r="108" spans="2:19" ht="18">
      <c r="B108" s="1"/>
      <c r="C108" s="46" t="s">
        <v>39</v>
      </c>
      <c r="D108" s="132">
        <f>1/D107</f>
        <v>0.3880149065271707</v>
      </c>
      <c r="E108" s="132"/>
      <c r="F108" s="21" t="s">
        <v>1</v>
      </c>
      <c r="G108" s="42"/>
      <c r="H108" s="21"/>
      <c r="I108" s="21"/>
      <c r="J108" s="21"/>
      <c r="K108" s="22"/>
      <c r="L108" s="21"/>
      <c r="M108" s="21"/>
      <c r="N108" s="21"/>
      <c r="O108" s="21"/>
      <c r="P108" s="22"/>
      <c r="Q108" s="21"/>
      <c r="R108" s="48"/>
      <c r="S108" s="48"/>
    </row>
    <row r="109" spans="2:19" ht="13.5" thickBot="1">
      <c r="B109" s="2"/>
      <c r="C109" s="3"/>
      <c r="D109" s="3"/>
      <c r="E109" s="3"/>
      <c r="F109" s="3"/>
      <c r="G109" s="4"/>
      <c r="H109" s="21"/>
      <c r="I109" s="21"/>
      <c r="J109" s="21"/>
      <c r="K109" s="22"/>
      <c r="L109" s="21"/>
      <c r="M109" s="21"/>
      <c r="N109" s="21"/>
      <c r="O109" s="21"/>
      <c r="P109" s="22"/>
      <c r="Q109" s="21"/>
      <c r="R109" s="48"/>
      <c r="S109" s="48"/>
    </row>
    <row r="110" spans="2:19" ht="13.5" thickBot="1">
      <c r="B110" s="48"/>
      <c r="C110" s="48"/>
      <c r="D110" s="48"/>
      <c r="E110" s="48"/>
      <c r="F110" s="48"/>
      <c r="G110" s="48"/>
      <c r="H110" s="21"/>
      <c r="I110" s="21"/>
      <c r="J110" s="21"/>
      <c r="K110" s="22"/>
      <c r="L110" s="21"/>
      <c r="M110" s="21"/>
      <c r="N110" s="21"/>
      <c r="O110" s="21"/>
      <c r="P110" s="22"/>
      <c r="Q110" s="21"/>
      <c r="R110" s="48"/>
      <c r="S110" s="48"/>
    </row>
    <row r="111" spans="2:26" ht="13.5" thickBot="1">
      <c r="B111" s="116" t="s">
        <v>141</v>
      </c>
      <c r="C111" s="117" t="s">
        <v>3</v>
      </c>
      <c r="D111" s="118" t="s">
        <v>17</v>
      </c>
      <c r="E111" s="119" t="s">
        <v>4</v>
      </c>
      <c r="F111" s="21"/>
      <c r="G111" s="21"/>
      <c r="H111" s="21"/>
      <c r="I111" s="21"/>
      <c r="J111" s="21"/>
      <c r="K111" s="22"/>
      <c r="L111" s="21"/>
      <c r="M111" s="21"/>
      <c r="N111" s="21"/>
      <c r="O111" s="21"/>
      <c r="P111" s="22"/>
      <c r="Q111" s="21"/>
      <c r="R111" s="48"/>
      <c r="S111" s="48"/>
      <c r="U111" s="101"/>
      <c r="V111" s="102"/>
      <c r="W111" s="102"/>
      <c r="X111" s="101"/>
      <c r="Y111" s="101"/>
      <c r="Z111" s="108"/>
    </row>
    <row r="112" spans="2:19" ht="12.75">
      <c r="B112" s="1">
        <v>-1</v>
      </c>
      <c r="C112" s="48"/>
      <c r="D112" s="21"/>
      <c r="E112" s="112">
        <f>+E113+C104/D107*(A16-R16)</f>
        <v>20.000000000000004</v>
      </c>
      <c r="F112" s="21"/>
      <c r="G112" s="21"/>
      <c r="I112" s="21"/>
      <c r="J112" s="21"/>
      <c r="K112" s="22"/>
      <c r="L112" s="21"/>
      <c r="M112" s="21"/>
      <c r="N112" s="21"/>
      <c r="O112" s="21"/>
      <c r="P112" s="22"/>
      <c r="Q112" s="21"/>
      <c r="R112" s="48"/>
      <c r="S112" s="48"/>
    </row>
    <row r="113" spans="2:23" ht="12.75">
      <c r="B113" s="111">
        <v>0</v>
      </c>
      <c r="C113" s="109">
        <f>EXP(1)^((17.269*E113)/(237.3+E113))*610.5</f>
        <v>2212.964151479635</v>
      </c>
      <c r="D113" s="110">
        <f>+H97</f>
        <v>1635.8658006616395</v>
      </c>
      <c r="E113" s="112">
        <f>+E114+K101/D107*(A16-R16)</f>
        <v>19.122310281435542</v>
      </c>
      <c r="F113" s="21"/>
      <c r="G113" s="21"/>
      <c r="J113" s="47"/>
      <c r="K113" s="22"/>
      <c r="L113" s="22"/>
      <c r="M113" s="21"/>
      <c r="N113" s="21"/>
      <c r="O113" s="21"/>
      <c r="P113" s="22"/>
      <c r="Q113" s="21"/>
      <c r="R113" s="48"/>
      <c r="S113" s="48"/>
      <c r="V113" s="103" t="e">
        <f>+V114-0.1</f>
        <v>#REF!</v>
      </c>
      <c r="W113" s="103" t="e">
        <f aca="true" t="shared" si="2" ref="W113:W128">0.01*610.5*EXP(1)^((21.875*V113)/(265.5+V113))</f>
        <v>#REF!</v>
      </c>
    </row>
    <row r="114" spans="2:23" ht="12.75">
      <c r="B114" s="111">
        <f>+E18</f>
        <v>3</v>
      </c>
      <c r="C114" s="109">
        <f>EXP(1)^((17.269*E114)/(237.3+E114))*610.5</f>
        <v>2197.4923066517454</v>
      </c>
      <c r="D114" s="110">
        <f>+D115+I100/(I99+I100+I101)*(H97-H72)</f>
        <v>1556.6993714447458</v>
      </c>
      <c r="E114" s="112">
        <f>+E115+K100/D107*(A16-R16)</f>
        <v>19.00978595854266</v>
      </c>
      <c r="F114" s="21"/>
      <c r="G114" s="21"/>
      <c r="J114" s="47"/>
      <c r="K114" s="22"/>
      <c r="L114" s="22"/>
      <c r="M114" s="21"/>
      <c r="N114" s="21"/>
      <c r="O114" s="21"/>
      <c r="P114" s="22"/>
      <c r="Q114" s="21"/>
      <c r="R114" s="48"/>
      <c r="S114" s="48"/>
      <c r="V114" s="103" t="e">
        <f>+V115-0.1</f>
        <v>#REF!</v>
      </c>
      <c r="W114" s="103" t="e">
        <f t="shared" si="2"/>
        <v>#REF!</v>
      </c>
    </row>
    <row r="115" spans="2:23" ht="12.75">
      <c r="B115" s="111">
        <f>+E18+K18</f>
        <v>11</v>
      </c>
      <c r="C115" s="109">
        <f>EXP(1)^((17.269*E115)/(237.3+E115))*610.5</f>
        <v>756.4490310976056</v>
      </c>
      <c r="D115" s="110">
        <f>+D116+I99/(I99+I100+I101)*(H97-H72)</f>
        <v>712.257459797879</v>
      </c>
      <c r="E115" s="112">
        <f>+E116+K99/D107*(A16-R16)</f>
        <v>2.9825826978357903</v>
      </c>
      <c r="J115" s="47"/>
      <c r="K115" s="22"/>
      <c r="L115" s="22"/>
      <c r="S115" s="48"/>
      <c r="V115" s="103" t="e">
        <f>+V116-0.1</f>
        <v>#REF!</v>
      </c>
      <c r="W115" s="103" t="e">
        <f t="shared" si="2"/>
        <v>#REF!</v>
      </c>
    </row>
    <row r="116" spans="2:23" ht="12.75">
      <c r="B116" s="111">
        <f>+J20</f>
        <v>14</v>
      </c>
      <c r="C116" s="109">
        <f>EXP(1)^((17.269*E116)/(237.3+E116))*610.5</f>
        <v>750.4287619539265</v>
      </c>
      <c r="D116" s="110">
        <f>+H72</f>
        <v>633.0910305809853</v>
      </c>
      <c r="E116" s="113">
        <f>+R16+C103/D107*(A16-R16)</f>
        <v>2.8700583749429107</v>
      </c>
      <c r="F116" s="21"/>
      <c r="G116" s="21"/>
      <c r="J116" s="47"/>
      <c r="K116" s="22"/>
      <c r="L116" s="22"/>
      <c r="M116" s="21"/>
      <c r="N116" s="21"/>
      <c r="O116" s="21"/>
      <c r="P116" s="22"/>
      <c r="Q116" s="21"/>
      <c r="R116" s="48"/>
      <c r="S116" s="48"/>
      <c r="V116" s="103" t="e">
        <f>+#REF!-0.1</f>
        <v>#REF!</v>
      </c>
      <c r="W116" s="103" t="e">
        <f t="shared" si="2"/>
        <v>#REF!</v>
      </c>
    </row>
    <row r="117" spans="2:23" ht="13.5" thickBot="1">
      <c r="B117" s="2">
        <f>+B116+1</f>
        <v>15</v>
      </c>
      <c r="C117" s="3"/>
      <c r="D117" s="114"/>
      <c r="E117" s="115">
        <f>+R16</f>
        <v>2.6</v>
      </c>
      <c r="F117" s="21"/>
      <c r="G117" s="21"/>
      <c r="J117" s="21"/>
      <c r="K117" s="22"/>
      <c r="L117" s="21"/>
      <c r="M117" s="21"/>
      <c r="N117" s="21"/>
      <c r="O117" s="21"/>
      <c r="P117" s="22"/>
      <c r="Q117" s="21"/>
      <c r="R117" s="48"/>
      <c r="S117" s="48"/>
      <c r="V117" s="24" t="e">
        <f>+#REF!-0.1</f>
        <v>#REF!</v>
      </c>
      <c r="W117" s="24" t="e">
        <f t="shared" si="2"/>
        <v>#REF!</v>
      </c>
    </row>
    <row r="118" spans="2:23" ht="12.75">
      <c r="B118" s="48"/>
      <c r="C118" s="48"/>
      <c r="D118" s="21"/>
      <c r="E118" s="22"/>
      <c r="F118" s="21"/>
      <c r="G118" s="21"/>
      <c r="H118" s="21"/>
      <c r="I118" s="21"/>
      <c r="J118" s="21"/>
      <c r="K118" s="22"/>
      <c r="L118" s="21"/>
      <c r="M118" s="21"/>
      <c r="N118" s="21"/>
      <c r="O118" s="21"/>
      <c r="P118" s="22"/>
      <c r="Q118" s="21"/>
      <c r="R118" s="48"/>
      <c r="S118" s="48"/>
      <c r="U118" s="18"/>
      <c r="V118" s="24">
        <f aca="true" t="shared" si="3" ref="V118:V128">+V119-0.1</f>
        <v>-1.0999999999999999</v>
      </c>
      <c r="W118" s="24">
        <f t="shared" si="2"/>
        <v>5.573928853871039</v>
      </c>
    </row>
    <row r="119" spans="2:23" ht="12.75">
      <c r="B119" s="48"/>
      <c r="C119" s="48"/>
      <c r="D119" s="21"/>
      <c r="E119" s="100"/>
      <c r="F119" s="104"/>
      <c r="G119" s="21"/>
      <c r="H119" s="21"/>
      <c r="I119" s="21"/>
      <c r="J119" s="21"/>
      <c r="K119" s="22"/>
      <c r="L119" s="21"/>
      <c r="M119" s="21"/>
      <c r="N119" s="21"/>
      <c r="O119" s="21"/>
      <c r="P119" s="22"/>
      <c r="Q119" s="21"/>
      <c r="R119" s="48"/>
      <c r="S119" s="48"/>
      <c r="V119" s="24">
        <f t="shared" si="3"/>
        <v>-0.9999999999999999</v>
      </c>
      <c r="W119" s="24">
        <f t="shared" si="2"/>
        <v>5.620411567930616</v>
      </c>
    </row>
    <row r="120" spans="2:23" ht="12.75">
      <c r="B120" s="48"/>
      <c r="C120" s="48"/>
      <c r="D120" s="21"/>
      <c r="E120" s="22"/>
      <c r="F120" s="21"/>
      <c r="G120" s="21"/>
      <c r="H120" s="21"/>
      <c r="I120" s="21"/>
      <c r="J120" s="21"/>
      <c r="K120" s="22"/>
      <c r="L120" s="21"/>
      <c r="M120" s="21"/>
      <c r="N120" s="21"/>
      <c r="O120" s="21"/>
      <c r="P120" s="22"/>
      <c r="Q120" s="21"/>
      <c r="R120" s="48"/>
      <c r="S120" s="48"/>
      <c r="V120" s="24">
        <f t="shared" si="3"/>
        <v>-0.8999999999999999</v>
      </c>
      <c r="W120" s="24">
        <f t="shared" si="2"/>
        <v>5.667246341175891</v>
      </c>
    </row>
    <row r="121" spans="2:23" ht="12.75">
      <c r="B121" s="48"/>
      <c r="C121" s="48"/>
      <c r="D121" s="21"/>
      <c r="E121" s="22"/>
      <c r="F121" s="21"/>
      <c r="G121" s="21"/>
      <c r="H121" s="21"/>
      <c r="I121" s="21"/>
      <c r="J121" s="21"/>
      <c r="K121" s="22"/>
      <c r="L121" s="21"/>
      <c r="M121" s="21"/>
      <c r="N121" s="21"/>
      <c r="O121" s="21"/>
      <c r="P121" s="22"/>
      <c r="Q121" s="21"/>
      <c r="R121" s="48"/>
      <c r="S121" s="48"/>
      <c r="V121" s="24">
        <f t="shared" si="3"/>
        <v>-0.7999999999999999</v>
      </c>
      <c r="W121" s="24">
        <f t="shared" si="2"/>
        <v>5.714435557533079</v>
      </c>
    </row>
    <row r="122" spans="2:23" ht="12.75">
      <c r="B122" s="48"/>
      <c r="C122" s="48"/>
      <c r="D122" s="21"/>
      <c r="E122" s="22"/>
      <c r="F122" s="21"/>
      <c r="G122" s="21"/>
      <c r="H122" s="21"/>
      <c r="I122" s="21"/>
      <c r="J122" s="21"/>
      <c r="K122" s="22"/>
      <c r="L122" s="21"/>
      <c r="M122" s="21"/>
      <c r="N122" s="21"/>
      <c r="O122" s="21"/>
      <c r="P122" s="22"/>
      <c r="Q122" s="21"/>
      <c r="R122" s="48"/>
      <c r="S122" s="48"/>
      <c r="V122" s="24">
        <f t="shared" si="3"/>
        <v>-0.7</v>
      </c>
      <c r="W122" s="24">
        <f t="shared" si="2"/>
        <v>5.761981615036798</v>
      </c>
    </row>
    <row r="123" spans="2:23" ht="12.75">
      <c r="B123" s="48"/>
      <c r="I123" s="21"/>
      <c r="J123" s="21"/>
      <c r="K123" s="22"/>
      <c r="L123" s="21"/>
      <c r="M123" s="21"/>
      <c r="N123" s="21"/>
      <c r="O123" s="21"/>
      <c r="P123" s="22"/>
      <c r="Q123" s="21"/>
      <c r="R123" s="48"/>
      <c r="S123" s="48"/>
      <c r="V123" s="24">
        <f t="shared" si="3"/>
        <v>-0.6</v>
      </c>
      <c r="W123" s="24">
        <f t="shared" si="2"/>
        <v>5.809886925900487</v>
      </c>
    </row>
    <row r="124" spans="2:23" ht="12.75">
      <c r="B124" s="48"/>
      <c r="I124" s="21"/>
      <c r="J124" s="21"/>
      <c r="K124" s="22"/>
      <c r="L124" s="21"/>
      <c r="M124" s="21"/>
      <c r="N124" s="21"/>
      <c r="O124" s="21"/>
      <c r="P124" s="22"/>
      <c r="Q124" s="100"/>
      <c r="R124" s="48"/>
      <c r="S124" s="48"/>
      <c r="V124" s="24">
        <f t="shared" si="3"/>
        <v>-0.5</v>
      </c>
      <c r="W124" s="24">
        <f t="shared" si="2"/>
        <v>5.8581539165871</v>
      </c>
    </row>
    <row r="125" spans="2:23" ht="12.75">
      <c r="B125" s="48"/>
      <c r="I125" s="21"/>
      <c r="J125" s="21"/>
      <c r="K125" s="22"/>
      <c r="L125" s="21"/>
      <c r="M125" s="21"/>
      <c r="N125" s="21"/>
      <c r="O125" s="21"/>
      <c r="P125" s="100"/>
      <c r="Q125" s="21"/>
      <c r="R125" s="48"/>
      <c r="S125" s="60"/>
      <c r="V125" s="24">
        <f t="shared" si="3"/>
        <v>-0.4</v>
      </c>
      <c r="W125" s="24">
        <f t="shared" si="2"/>
        <v>5.906785027880087</v>
      </c>
    </row>
    <row r="126" spans="2:23" ht="12.75">
      <c r="B126" s="48"/>
      <c r="I126" s="21"/>
      <c r="J126" s="21"/>
      <c r="K126" s="22"/>
      <c r="L126" s="21"/>
      <c r="M126" s="21"/>
      <c r="N126" s="21"/>
      <c r="O126" s="21"/>
      <c r="P126" s="100"/>
      <c r="Q126" s="21"/>
      <c r="R126" s="48"/>
      <c r="S126" s="48"/>
      <c r="V126" s="24">
        <f t="shared" si="3"/>
        <v>-0.30000000000000004</v>
      </c>
      <c r="W126" s="24">
        <f t="shared" si="2"/>
        <v>5.955782714954639</v>
      </c>
    </row>
    <row r="127" spans="2:23" ht="12.75">
      <c r="B127" s="48"/>
      <c r="C127" s="48"/>
      <c r="D127" s="21"/>
      <c r="E127" s="22"/>
      <c r="F127" s="21"/>
      <c r="G127" s="21"/>
      <c r="H127" s="21"/>
      <c r="I127" s="21"/>
      <c r="J127" s="21"/>
      <c r="K127" s="22"/>
      <c r="L127" s="21"/>
      <c r="M127" s="21"/>
      <c r="N127" s="21"/>
      <c r="O127" s="21"/>
      <c r="P127" s="22"/>
      <c r="Q127" s="21"/>
      <c r="R127" s="48"/>
      <c r="S127" s="48"/>
      <c r="V127" s="24">
        <f t="shared" si="3"/>
        <v>-0.2</v>
      </c>
      <c r="W127" s="24">
        <f t="shared" si="2"/>
        <v>6.005149447449231</v>
      </c>
    </row>
    <row r="128" spans="2:23" ht="12.75">
      <c r="B128" s="48"/>
      <c r="C128" s="48"/>
      <c r="D128" s="21"/>
      <c r="E128" s="22"/>
      <c r="F128" s="21"/>
      <c r="G128" s="21"/>
      <c r="H128" s="21"/>
      <c r="I128" s="21"/>
      <c r="J128" s="21"/>
      <c r="K128" s="22"/>
      <c r="L128" s="21"/>
      <c r="M128" s="21"/>
      <c r="N128" s="21"/>
      <c r="O128" s="21"/>
      <c r="P128" s="22"/>
      <c r="Q128" s="21"/>
      <c r="R128" s="48"/>
      <c r="S128" s="48"/>
      <c r="V128" s="24">
        <f t="shared" si="3"/>
        <v>-0.1</v>
      </c>
      <c r="W128" s="24">
        <f t="shared" si="2"/>
        <v>6.054887709537431</v>
      </c>
    </row>
    <row r="129" spans="2:23" ht="12.75">
      <c r="B129" s="48"/>
      <c r="C129" s="48"/>
      <c r="D129" s="21"/>
      <c r="E129" s="22"/>
      <c r="F129" s="21"/>
      <c r="G129" s="21"/>
      <c r="H129" s="21"/>
      <c r="I129" s="21"/>
      <c r="J129" s="21"/>
      <c r="K129" s="22"/>
      <c r="L129" s="21"/>
      <c r="M129" s="21"/>
      <c r="N129" s="21"/>
      <c r="O129" s="21"/>
      <c r="P129" s="22"/>
      <c r="Q129" s="21"/>
      <c r="R129" s="48"/>
      <c r="S129" s="48"/>
      <c r="V129" s="25">
        <v>0</v>
      </c>
      <c r="W129" s="25">
        <f aca="true" t="shared" si="4" ref="W129:W190">0.01*610.5*EXP(1)^((17.269*V129)/(237.3+V129))</f>
        <v>6.105</v>
      </c>
    </row>
    <row r="130" spans="2:23" ht="12.75">
      <c r="B130" s="106"/>
      <c r="S130" s="48"/>
      <c r="T130" s="39"/>
      <c r="U130" s="39"/>
      <c r="V130" s="25">
        <f aca="true" t="shared" si="5" ref="V130:V159">+V129+0.1</f>
        <v>0.1</v>
      </c>
      <c r="W130" s="25">
        <f t="shared" si="4"/>
        <v>6.14957103074409</v>
      </c>
    </row>
    <row r="131" spans="2:23" ht="12.75">
      <c r="B131" s="48"/>
      <c r="C131" s="48"/>
      <c r="D131" s="48"/>
      <c r="E131" s="60"/>
      <c r="F131" s="21"/>
      <c r="G131" s="21"/>
      <c r="H131" s="21"/>
      <c r="I131" s="21"/>
      <c r="J131" s="21"/>
      <c r="K131" s="22"/>
      <c r="L131" s="21"/>
      <c r="M131" s="21"/>
      <c r="N131" s="21"/>
      <c r="O131" s="21"/>
      <c r="P131" s="22"/>
      <c r="Q131" s="48"/>
      <c r="R131" s="48"/>
      <c r="S131" s="48"/>
      <c r="V131" s="25">
        <f t="shared" si="5"/>
        <v>0.2</v>
      </c>
      <c r="W131" s="25">
        <f t="shared" si="4"/>
        <v>6.194429518007808</v>
      </c>
    </row>
    <row r="132" spans="2:23" ht="12.75">
      <c r="B132" s="48"/>
      <c r="C132" s="48"/>
      <c r="D132" s="48"/>
      <c r="E132" s="60"/>
      <c r="F132" s="21"/>
      <c r="G132" s="21"/>
      <c r="H132" s="21"/>
      <c r="I132" s="21"/>
      <c r="J132" s="21"/>
      <c r="K132" s="22"/>
      <c r="L132" s="18"/>
      <c r="M132" s="21"/>
      <c r="N132" s="21"/>
      <c r="O132" s="21"/>
      <c r="P132" s="22"/>
      <c r="Q132" s="48"/>
      <c r="R132" s="48"/>
      <c r="S132" s="48"/>
      <c r="V132" s="25">
        <f t="shared" si="5"/>
        <v>0.30000000000000004</v>
      </c>
      <c r="W132" s="25">
        <f t="shared" si="4"/>
        <v>6.239577055344454</v>
      </c>
    </row>
    <row r="133" spans="5:23" ht="12.75">
      <c r="E133" s="38"/>
      <c r="F133" s="21"/>
      <c r="G133" s="21"/>
      <c r="M133" s="21"/>
      <c r="N133" s="21"/>
      <c r="O133" s="21"/>
      <c r="P133" s="22"/>
      <c r="V133" s="25">
        <f t="shared" si="5"/>
        <v>0.4</v>
      </c>
      <c r="W133" s="25">
        <f t="shared" si="4"/>
        <v>6.285015243568451</v>
      </c>
    </row>
    <row r="134" spans="22:23" ht="12.75">
      <c r="V134" s="25">
        <f>+V133+0.1</f>
        <v>0.5</v>
      </c>
      <c r="W134" s="25">
        <f t="shared" si="4"/>
        <v>6.330745690780262</v>
      </c>
    </row>
    <row r="135" spans="22:23" ht="12.75">
      <c r="V135" s="25">
        <f t="shared" si="5"/>
        <v>0.6</v>
      </c>
      <c r="W135" s="25">
        <f t="shared" si="4"/>
        <v>6.376770012391359</v>
      </c>
    </row>
    <row r="136" spans="22:23" ht="12.75">
      <c r="V136" s="25">
        <f t="shared" si="5"/>
        <v>0.7</v>
      </c>
      <c r="W136" s="25">
        <f t="shared" si="4"/>
        <v>6.423089831149247</v>
      </c>
    </row>
    <row r="137" spans="22:23" ht="12.75">
      <c r="V137" s="25">
        <f t="shared" si="5"/>
        <v>0.7999999999999999</v>
      </c>
      <c r="W137" s="25">
        <f t="shared" si="4"/>
        <v>6.469706777162539</v>
      </c>
    </row>
    <row r="138" spans="2:23" ht="15.75">
      <c r="B138" s="11"/>
      <c r="C138" s="41"/>
      <c r="D138" s="41"/>
      <c r="E138" s="21"/>
      <c r="F138" s="21"/>
      <c r="G138" s="21"/>
      <c r="H138" s="21"/>
      <c r="I138" s="21"/>
      <c r="J138" s="21"/>
      <c r="V138" s="25">
        <f t="shared" si="5"/>
        <v>0.8999999999999999</v>
      </c>
      <c r="W138" s="25">
        <f t="shared" si="4"/>
        <v>6.516622487926072</v>
      </c>
    </row>
    <row r="139" spans="4:23" ht="12.75">
      <c r="D139" s="21"/>
      <c r="E139" s="22"/>
      <c r="F139" s="21"/>
      <c r="G139" s="21"/>
      <c r="H139" s="21"/>
      <c r="I139" s="21"/>
      <c r="J139" s="21"/>
      <c r="V139" s="25">
        <f t="shared" si="5"/>
        <v>0.9999999999999999</v>
      </c>
      <c r="W139" s="25">
        <f t="shared" si="4"/>
        <v>6.563838608346082</v>
      </c>
    </row>
    <row r="140" spans="21:23" ht="12.75">
      <c r="U140" s="23"/>
      <c r="V140" s="25">
        <f t="shared" si="5"/>
        <v>1.0999999999999999</v>
      </c>
      <c r="W140" s="25">
        <f t="shared" si="4"/>
        <v>6.6113567907654245</v>
      </c>
    </row>
    <row r="141" spans="21:23" ht="12.75">
      <c r="U141" s="23"/>
      <c r="V141" s="25">
        <f t="shared" si="5"/>
        <v>1.2</v>
      </c>
      <c r="W141" s="25">
        <f t="shared" si="4"/>
        <v>6.659178694988855</v>
      </c>
    </row>
    <row r="142" spans="21:23" ht="12.75">
      <c r="U142" s="23"/>
      <c r="V142" s="25">
        <f t="shared" si="5"/>
        <v>1.3</v>
      </c>
      <c r="W142" s="25">
        <f t="shared" si="4"/>
        <v>6.707305988308338</v>
      </c>
    </row>
    <row r="143" spans="21:23" ht="12.75">
      <c r="U143" s="23"/>
      <c r="V143" s="25">
        <f t="shared" si="5"/>
        <v>1.4000000000000001</v>
      </c>
      <c r="W143" s="25">
        <f t="shared" si="4"/>
        <v>6.755740345528432</v>
      </c>
    </row>
    <row r="144" spans="12:23" ht="12.75">
      <c r="L144" s="63"/>
      <c r="M144" s="63"/>
      <c r="N144" s="63"/>
      <c r="U144" s="23"/>
      <c r="V144" s="25">
        <f t="shared" si="5"/>
        <v>1.5000000000000002</v>
      </c>
      <c r="W144" s="25">
        <f t="shared" si="4"/>
        <v>6.8044834489917045</v>
      </c>
    </row>
    <row r="145" spans="21:23" ht="12.75">
      <c r="U145" s="23"/>
      <c r="V145" s="25">
        <f t="shared" si="5"/>
        <v>1.6000000000000003</v>
      </c>
      <c r="W145" s="25">
        <f t="shared" si="4"/>
        <v>6.853536988604208</v>
      </c>
    </row>
    <row r="146" spans="21:23" ht="12.75">
      <c r="U146" s="23"/>
      <c r="V146" s="25">
        <f t="shared" si="5"/>
        <v>1.7000000000000004</v>
      </c>
      <c r="W146" s="25">
        <f t="shared" si="4"/>
        <v>6.902902661861004</v>
      </c>
    </row>
    <row r="147" spans="21:23" ht="12.75">
      <c r="U147" s="23"/>
      <c r="V147" s="25">
        <f t="shared" si="5"/>
        <v>1.8000000000000005</v>
      </c>
      <c r="W147" s="25">
        <f t="shared" si="4"/>
        <v>6.952582173871733</v>
      </c>
    </row>
    <row r="148" spans="12:23" ht="12.75">
      <c r="L148" s="63"/>
      <c r="M148" s="63"/>
      <c r="N148" s="63"/>
      <c r="U148" s="23"/>
      <c r="V148" s="25">
        <f t="shared" si="5"/>
        <v>1.9000000000000006</v>
      </c>
      <c r="W148" s="25">
        <f t="shared" si="4"/>
        <v>7.0025772373862365</v>
      </c>
    </row>
    <row r="149" spans="21:23" ht="12.75">
      <c r="U149" s="23"/>
      <c r="V149" s="25">
        <f t="shared" si="5"/>
        <v>2.0000000000000004</v>
      </c>
      <c r="W149" s="25">
        <f t="shared" si="4"/>
        <v>7.052889572820236</v>
      </c>
    </row>
    <row r="150" spans="21:23" ht="12.75">
      <c r="U150" s="23"/>
      <c r="V150" s="25">
        <f t="shared" si="5"/>
        <v>2.1000000000000005</v>
      </c>
      <c r="W150" s="25">
        <f t="shared" si="4"/>
        <v>7.103520908281047</v>
      </c>
    </row>
    <row r="151" spans="21:23" ht="12.75">
      <c r="U151" s="23"/>
      <c r="V151" s="25">
        <f t="shared" si="5"/>
        <v>2.2000000000000006</v>
      </c>
      <c r="W151" s="25">
        <f t="shared" si="4"/>
        <v>7.15447297959336</v>
      </c>
    </row>
    <row r="152" spans="21:23" ht="12.75">
      <c r="U152" s="23"/>
      <c r="V152" s="25">
        <f t="shared" si="5"/>
        <v>2.3000000000000007</v>
      </c>
      <c r="W152" s="25">
        <f t="shared" si="4"/>
        <v>7.205747530325055</v>
      </c>
    </row>
    <row r="153" spans="21:23" ht="12.75">
      <c r="U153" s="23"/>
      <c r="V153" s="25">
        <f t="shared" si="5"/>
        <v>2.400000000000001</v>
      </c>
      <c r="W153" s="25">
        <f t="shared" si="4"/>
        <v>7.2573463118130785</v>
      </c>
    </row>
    <row r="154" spans="21:23" ht="12.75">
      <c r="U154" s="23"/>
      <c r="V154" s="25">
        <f t="shared" si="5"/>
        <v>2.500000000000001</v>
      </c>
      <c r="W154" s="25">
        <f t="shared" si="4"/>
        <v>7.309271083189365</v>
      </c>
    </row>
    <row r="155" spans="21:23" ht="12.75">
      <c r="U155" s="23"/>
      <c r="V155" s="25">
        <f t="shared" si="5"/>
        <v>2.600000000000001</v>
      </c>
      <c r="W155" s="25">
        <f t="shared" si="4"/>
        <v>7.361523611406806</v>
      </c>
    </row>
    <row r="156" spans="21:23" ht="12.75">
      <c r="U156" s="23"/>
      <c r="V156" s="25">
        <f t="shared" si="5"/>
        <v>2.700000000000001</v>
      </c>
      <c r="W156" s="25">
        <f t="shared" si="4"/>
        <v>7.414105671265277</v>
      </c>
    </row>
    <row r="157" spans="21:23" ht="12.75">
      <c r="U157" s="23"/>
      <c r="V157" s="25">
        <f t="shared" si="5"/>
        <v>2.800000000000001</v>
      </c>
      <c r="W157" s="25">
        <f t="shared" si="4"/>
        <v>7.467019045437702</v>
      </c>
    </row>
    <row r="158" spans="21:23" ht="12.75">
      <c r="U158" s="23"/>
      <c r="V158" s="25">
        <f t="shared" si="5"/>
        <v>2.9000000000000012</v>
      </c>
      <c r="W158" s="25">
        <f t="shared" si="4"/>
        <v>7.520265524496181</v>
      </c>
    </row>
    <row r="159" spans="4:23" ht="20.25">
      <c r="D159" s="40" t="s">
        <v>2</v>
      </c>
      <c r="U159" s="23"/>
      <c r="V159" s="25">
        <f t="shared" si="5"/>
        <v>3.0000000000000013</v>
      </c>
      <c r="W159" s="25">
        <f t="shared" si="4"/>
        <v>7.573846906938151</v>
      </c>
    </row>
    <row r="160" spans="21:23" ht="12.75">
      <c r="U160" s="23"/>
      <c r="V160" s="25">
        <f aca="true" t="shared" si="6" ref="V160:V191">+V159+0.1</f>
        <v>3.1000000000000014</v>
      </c>
      <c r="W160" s="25">
        <f t="shared" si="4"/>
        <v>7.627764999212618</v>
      </c>
    </row>
    <row r="161" spans="7:23" ht="13.5" thickBot="1">
      <c r="G161" s="26" t="s">
        <v>14</v>
      </c>
      <c r="H161" s="3"/>
      <c r="U161" s="23"/>
      <c r="V161" s="25">
        <f t="shared" si="6"/>
        <v>3.2000000000000015</v>
      </c>
      <c r="W161" s="25">
        <f t="shared" si="4"/>
        <v>7.68202161574642</v>
      </c>
    </row>
    <row r="162" spans="7:23" ht="12.75">
      <c r="G162" s="10" t="s">
        <v>8</v>
      </c>
      <c r="H162" s="10"/>
      <c r="U162" s="23"/>
      <c r="V162" s="25">
        <f t="shared" si="6"/>
        <v>3.3000000000000016</v>
      </c>
      <c r="W162" s="25">
        <f t="shared" si="4"/>
        <v>7.736618578970543</v>
      </c>
    </row>
    <row r="163" spans="3:23" ht="18">
      <c r="C163" s="127" t="s">
        <v>10</v>
      </c>
      <c r="D163" s="127"/>
      <c r="E163" s="11" t="s">
        <v>13</v>
      </c>
      <c r="F163" s="11"/>
      <c r="I163" t="s">
        <v>6</v>
      </c>
      <c r="U163" s="23"/>
      <c r="V163" s="25">
        <f t="shared" si="6"/>
        <v>3.4000000000000017</v>
      </c>
      <c r="W163" s="25">
        <f t="shared" si="4"/>
        <v>7.791557719346498</v>
      </c>
    </row>
    <row r="164" spans="21:23" ht="12.75">
      <c r="U164" s="23"/>
      <c r="V164" s="25">
        <f t="shared" si="6"/>
        <v>3.5000000000000018</v>
      </c>
      <c r="W164" s="25">
        <f t="shared" si="4"/>
        <v>7.846840875392735</v>
      </c>
    </row>
    <row r="165" spans="7:23" ht="13.5" thickBot="1">
      <c r="G165" s="26" t="s">
        <v>15</v>
      </c>
      <c r="H165" s="3"/>
      <c r="U165" s="23"/>
      <c r="V165" s="25">
        <f t="shared" si="6"/>
        <v>3.600000000000002</v>
      </c>
      <c r="W165" s="25">
        <f t="shared" si="4"/>
        <v>7.902469893711106</v>
      </c>
    </row>
    <row r="166" spans="7:23" ht="12.75">
      <c r="G166" s="10" t="s">
        <v>9</v>
      </c>
      <c r="H166" s="10"/>
      <c r="U166" s="23"/>
      <c r="V166" s="25">
        <f t="shared" si="6"/>
        <v>3.700000000000002</v>
      </c>
      <c r="W166" s="25">
        <f t="shared" si="4"/>
        <v>7.9584466290133955</v>
      </c>
    </row>
    <row r="167" spans="3:23" ht="18">
      <c r="C167" s="127" t="s">
        <v>10</v>
      </c>
      <c r="D167" s="127"/>
      <c r="E167" s="11" t="s">
        <v>13</v>
      </c>
      <c r="F167" s="11"/>
      <c r="I167" t="s">
        <v>7</v>
      </c>
      <c r="U167" s="23"/>
      <c r="V167" s="25">
        <f t="shared" si="6"/>
        <v>3.800000000000002</v>
      </c>
      <c r="W167" s="25">
        <f t="shared" si="4"/>
        <v>8.01477294414787</v>
      </c>
    </row>
    <row r="168" spans="21:23" ht="12.75">
      <c r="U168" s="23"/>
      <c r="V168" s="25">
        <f t="shared" si="6"/>
        <v>3.900000000000002</v>
      </c>
      <c r="W168" s="25">
        <f t="shared" si="4"/>
        <v>8.071450710125905</v>
      </c>
    </row>
    <row r="169" spans="21:23" ht="12.75">
      <c r="U169" s="23"/>
      <c r="V169" s="25">
        <f t="shared" si="6"/>
        <v>4.000000000000002</v>
      </c>
      <c r="W169" s="25">
        <f t="shared" si="4"/>
        <v>8.12848180614865</v>
      </c>
    </row>
    <row r="170" spans="21:23" ht="12.75">
      <c r="U170" s="23"/>
      <c r="V170" s="25">
        <f t="shared" si="6"/>
        <v>4.100000000000001</v>
      </c>
      <c r="W170" s="25">
        <f t="shared" si="4"/>
        <v>8.185868119633739</v>
      </c>
    </row>
    <row r="171" spans="21:23" ht="12.75">
      <c r="U171" s="23"/>
      <c r="V171" s="25">
        <f t="shared" si="6"/>
        <v>4.200000000000001</v>
      </c>
      <c r="W171" s="25">
        <f t="shared" si="4"/>
        <v>8.243611546242052</v>
      </c>
    </row>
    <row r="172" spans="21:23" ht="12.75">
      <c r="U172" s="23"/>
      <c r="V172" s="25">
        <f t="shared" si="6"/>
        <v>4.300000000000001</v>
      </c>
      <c r="W172" s="25">
        <f t="shared" si="4"/>
        <v>8.301713989904538</v>
      </c>
    </row>
    <row r="173" spans="21:23" ht="12.75">
      <c r="U173" s="23"/>
      <c r="V173" s="25">
        <f t="shared" si="6"/>
        <v>4.4</v>
      </c>
      <c r="W173" s="25">
        <f t="shared" si="4"/>
        <v>8.360177362849061</v>
      </c>
    </row>
    <row r="174" spans="21:23" ht="12.75">
      <c r="U174" s="23"/>
      <c r="V174" s="25">
        <f t="shared" si="6"/>
        <v>4.5</v>
      </c>
      <c r="W174" s="25">
        <f t="shared" si="4"/>
        <v>8.419003585627332</v>
      </c>
    </row>
    <row r="175" spans="21:23" ht="12.75">
      <c r="U175" s="23"/>
      <c r="V175" s="25">
        <f t="shared" si="6"/>
        <v>4.6</v>
      </c>
      <c r="W175" s="25">
        <f t="shared" si="4"/>
        <v>8.478194587141848</v>
      </c>
    </row>
    <row r="176" spans="21:23" ht="12.75">
      <c r="U176" s="23"/>
      <c r="V176" s="25">
        <f t="shared" si="6"/>
        <v>4.699999999999999</v>
      </c>
      <c r="W176" s="25">
        <f t="shared" si="4"/>
        <v>8.53775230467292</v>
      </c>
    </row>
    <row r="177" spans="21:23" ht="12.75">
      <c r="U177" s="23"/>
      <c r="V177" s="25">
        <f t="shared" si="6"/>
        <v>4.799999999999999</v>
      </c>
      <c r="W177" s="25">
        <f t="shared" si="4"/>
        <v>8.59767868390571</v>
      </c>
    </row>
    <row r="178" spans="21:23" ht="12.75">
      <c r="U178" s="23"/>
      <c r="V178" s="25">
        <f t="shared" si="6"/>
        <v>4.899999999999999</v>
      </c>
      <c r="W178" s="25">
        <f t="shared" si="4"/>
        <v>8.657975678957367</v>
      </c>
    </row>
    <row r="179" spans="21:23" ht="12.75">
      <c r="U179" s="23"/>
      <c r="V179" s="25">
        <f t="shared" si="6"/>
        <v>4.999999999999998</v>
      </c>
      <c r="W179" s="25">
        <f t="shared" si="4"/>
        <v>8.718645252404153</v>
      </c>
    </row>
    <row r="180" spans="21:23" ht="12.75">
      <c r="U180" s="23"/>
      <c r="V180" s="25">
        <f t="shared" si="6"/>
        <v>5.099999999999998</v>
      </c>
      <c r="W180" s="25">
        <f t="shared" si="4"/>
        <v>8.77968937530867</v>
      </c>
    </row>
    <row r="181" spans="21:23" ht="12.75">
      <c r="U181" s="23"/>
      <c r="V181" s="25">
        <f t="shared" si="6"/>
        <v>5.1999999999999975</v>
      </c>
      <c r="W181" s="25">
        <f t="shared" si="4"/>
        <v>8.841110027247105</v>
      </c>
    </row>
    <row r="182" spans="21:23" ht="12.75">
      <c r="U182" s="23"/>
      <c r="V182" s="25">
        <f t="shared" si="6"/>
        <v>5.299999999999997</v>
      </c>
      <c r="W182" s="25">
        <f t="shared" si="4"/>
        <v>8.902909196336532</v>
      </c>
    </row>
    <row r="183" spans="21:23" ht="12.75">
      <c r="U183" s="23"/>
      <c r="V183" s="25">
        <f t="shared" si="6"/>
        <v>5.399999999999997</v>
      </c>
      <c r="W183" s="25">
        <f t="shared" si="4"/>
        <v>8.965088879262268</v>
      </c>
    </row>
    <row r="184" spans="21:23" ht="12.75">
      <c r="U184" s="23"/>
      <c r="V184" s="25">
        <f t="shared" si="6"/>
        <v>5.4999999999999964</v>
      </c>
      <c r="W184" s="25">
        <f t="shared" si="4"/>
        <v>9.02765108130527</v>
      </c>
    </row>
    <row r="185" spans="21:23" ht="12.75">
      <c r="U185" s="23"/>
      <c r="V185" s="25">
        <f t="shared" si="6"/>
        <v>5.599999999999996</v>
      </c>
      <c r="W185" s="25">
        <f t="shared" si="4"/>
        <v>9.090597816369586</v>
      </c>
    </row>
    <row r="186" spans="21:23" ht="15.75" customHeight="1">
      <c r="U186" s="23"/>
      <c r="V186" s="25">
        <f t="shared" si="6"/>
        <v>5.699999999999996</v>
      </c>
      <c r="W186" s="25">
        <f t="shared" si="4"/>
        <v>9.153931107009852</v>
      </c>
    </row>
    <row r="187" spans="21:23" ht="12.75">
      <c r="U187" s="23"/>
      <c r="V187" s="25">
        <f t="shared" si="6"/>
        <v>5.799999999999995</v>
      </c>
      <c r="W187" s="25">
        <f t="shared" si="4"/>
        <v>9.217652984458836</v>
      </c>
    </row>
    <row r="188" spans="21:23" ht="12.75">
      <c r="U188" s="23"/>
      <c r="V188" s="25">
        <f t="shared" si="6"/>
        <v>5.899999999999995</v>
      </c>
      <c r="W188" s="25">
        <f t="shared" si="4"/>
        <v>9.281765488655036</v>
      </c>
    </row>
    <row r="189" spans="6:23" ht="12.75">
      <c r="F189" s="10"/>
      <c r="G189" s="10"/>
      <c r="U189" s="23"/>
      <c r="V189" s="25">
        <f t="shared" si="6"/>
        <v>5.999999999999995</v>
      </c>
      <c r="W189" s="25">
        <f t="shared" si="4"/>
        <v>9.346270668270328</v>
      </c>
    </row>
    <row r="190" spans="21:23" ht="12.75">
      <c r="U190" s="23"/>
      <c r="V190" s="25">
        <f t="shared" si="6"/>
        <v>6.099999999999994</v>
      </c>
      <c r="W190" s="25">
        <f t="shared" si="4"/>
        <v>9.411170580737647</v>
      </c>
    </row>
    <row r="191" spans="21:23" ht="12.75">
      <c r="U191" s="23"/>
      <c r="V191" s="25">
        <f t="shared" si="6"/>
        <v>6.199999999999994</v>
      </c>
      <c r="W191" s="25">
        <f aca="true" t="shared" si="7" ref="W191:W254">0.01*610.5*EXP(1)^((17.269*V191)/(237.3+V191))</f>
        <v>9.476467292278729</v>
      </c>
    </row>
    <row r="192" spans="21:23" ht="12.75">
      <c r="U192" s="23"/>
      <c r="V192" s="25">
        <f aca="true" t="shared" si="8" ref="V192:V223">+V191+0.1</f>
        <v>6.299999999999994</v>
      </c>
      <c r="W192" s="25">
        <f t="shared" si="7"/>
        <v>9.542162877931913</v>
      </c>
    </row>
    <row r="193" spans="21:23" ht="12.75">
      <c r="U193" s="23"/>
      <c r="V193" s="25">
        <f t="shared" si="8"/>
        <v>6.399999999999993</v>
      </c>
      <c r="W193" s="25">
        <f t="shared" si="7"/>
        <v>9.608259421579964</v>
      </c>
    </row>
    <row r="194" spans="21:23" ht="12.75">
      <c r="U194" s="23"/>
      <c r="V194" s="25">
        <f t="shared" si="8"/>
        <v>6.499999999999993</v>
      </c>
      <c r="W194" s="25">
        <f t="shared" si="7"/>
        <v>9.67475901597796</v>
      </c>
    </row>
    <row r="195" spans="21:23" ht="12.75">
      <c r="U195" s="23"/>
      <c r="V195" s="25">
        <f t="shared" si="8"/>
        <v>6.5999999999999925</v>
      </c>
      <c r="W195" s="25">
        <f t="shared" si="7"/>
        <v>9.741663762781236</v>
      </c>
    </row>
    <row r="196" spans="21:23" ht="12.75">
      <c r="U196" s="23"/>
      <c r="V196" s="25">
        <f t="shared" si="8"/>
        <v>6.699999999999992</v>
      </c>
      <c r="W196" s="25">
        <f t="shared" si="7"/>
        <v>9.808975772573355</v>
      </c>
    </row>
    <row r="197" spans="21:23" ht="12.75">
      <c r="U197" s="23"/>
      <c r="V197" s="25">
        <f t="shared" si="8"/>
        <v>6.799999999999992</v>
      </c>
      <c r="W197" s="25">
        <f t="shared" si="7"/>
        <v>9.87669716489414</v>
      </c>
    </row>
    <row r="198" spans="21:23" ht="12.75">
      <c r="U198" s="23"/>
      <c r="V198" s="25">
        <f t="shared" si="8"/>
        <v>6.8999999999999915</v>
      </c>
      <c r="W198" s="25">
        <f t="shared" si="7"/>
        <v>9.944830068267754</v>
      </c>
    </row>
    <row r="199" spans="21:23" ht="12.75">
      <c r="U199" s="23"/>
      <c r="V199" s="25">
        <f t="shared" si="8"/>
        <v>6.999999999999991</v>
      </c>
      <c r="W199" s="25">
        <f t="shared" si="7"/>
        <v>10.013376620230833</v>
      </c>
    </row>
    <row r="200" spans="21:23" ht="12.75">
      <c r="U200" s="23"/>
      <c r="V200" s="25">
        <f t="shared" si="8"/>
        <v>7.099999999999991</v>
      </c>
      <c r="W200" s="25">
        <f t="shared" si="7"/>
        <v>10.082338967360643</v>
      </c>
    </row>
    <row r="201" spans="21:23" ht="12.75">
      <c r="U201" s="23"/>
      <c r="V201" s="25">
        <f t="shared" si="8"/>
        <v>7.19999999999999</v>
      </c>
      <c r="W201" s="25">
        <f t="shared" si="7"/>
        <v>10.151719265303324</v>
      </c>
    </row>
    <row r="202" spans="21:23" ht="12.75">
      <c r="U202" s="23"/>
      <c r="V202" s="25">
        <f t="shared" si="8"/>
        <v>7.29999999999999</v>
      </c>
      <c r="W202" s="25">
        <f t="shared" si="7"/>
        <v>10.221519678802137</v>
      </c>
    </row>
    <row r="203" spans="21:23" ht="12.75">
      <c r="U203" s="23"/>
      <c r="V203" s="25">
        <f t="shared" si="8"/>
        <v>7.39999999999999</v>
      </c>
      <c r="W203" s="25">
        <f t="shared" si="7"/>
        <v>10.291742381725806</v>
      </c>
    </row>
    <row r="204" spans="21:23" ht="12.75">
      <c r="U204" s="23"/>
      <c r="V204" s="25">
        <f t="shared" si="8"/>
        <v>7.499999999999989</v>
      </c>
      <c r="W204" s="25">
        <f t="shared" si="7"/>
        <v>10.362389557096863</v>
      </c>
    </row>
    <row r="205" spans="21:23" ht="12.75">
      <c r="U205" s="23"/>
      <c r="V205" s="25">
        <f t="shared" si="8"/>
        <v>7.599999999999989</v>
      </c>
      <c r="W205" s="25">
        <f t="shared" si="7"/>
        <v>10.433463397120075</v>
      </c>
    </row>
    <row r="206" spans="21:23" ht="12.75">
      <c r="U206" s="23"/>
      <c r="V206" s="25">
        <f t="shared" si="8"/>
        <v>7.699999999999989</v>
      </c>
      <c r="W206" s="25">
        <f t="shared" si="7"/>
        <v>10.504966103210903</v>
      </c>
    </row>
    <row r="207" spans="21:23" ht="12.75">
      <c r="U207" s="23"/>
      <c r="V207" s="25">
        <f t="shared" si="8"/>
        <v>7.799999999999988</v>
      </c>
      <c r="W207" s="25">
        <f t="shared" si="7"/>
        <v>10.576899886024004</v>
      </c>
    </row>
    <row r="208" spans="21:23" ht="12.75">
      <c r="U208" s="23"/>
      <c r="V208" s="25">
        <f t="shared" si="8"/>
        <v>7.899999999999988</v>
      </c>
      <c r="W208" s="25">
        <f t="shared" si="7"/>
        <v>10.649266965481797</v>
      </c>
    </row>
    <row r="209" spans="21:23" ht="12.75">
      <c r="U209" s="23"/>
      <c r="V209" s="25">
        <f t="shared" si="8"/>
        <v>7.999999999999988</v>
      </c>
      <c r="W209" s="25">
        <f t="shared" si="7"/>
        <v>10.72206957080306</v>
      </c>
    </row>
    <row r="210" spans="21:23" ht="12.75">
      <c r="U210" s="23"/>
      <c r="V210" s="25">
        <f t="shared" si="8"/>
        <v>8.099999999999987</v>
      </c>
      <c r="W210" s="25">
        <f t="shared" si="7"/>
        <v>10.795309940531592</v>
      </c>
    </row>
    <row r="211" spans="21:23" ht="12.75">
      <c r="U211" s="23"/>
      <c r="V211" s="25">
        <f t="shared" si="8"/>
        <v>8.199999999999987</v>
      </c>
      <c r="W211" s="25">
        <f t="shared" si="7"/>
        <v>10.8689903225649</v>
      </c>
    </row>
    <row r="212" spans="21:23" ht="12.75">
      <c r="U212" s="23"/>
      <c r="V212" s="25">
        <f t="shared" si="8"/>
        <v>8.299999999999986</v>
      </c>
      <c r="W212" s="25">
        <f t="shared" si="7"/>
        <v>10.94311297418295</v>
      </c>
    </row>
    <row r="213" spans="21:23" ht="12.75">
      <c r="U213" s="23"/>
      <c r="V213" s="25">
        <f t="shared" si="8"/>
        <v>8.399999999999986</v>
      </c>
      <c r="W213" s="25">
        <f t="shared" si="7"/>
        <v>11.01768016207697</v>
      </c>
    </row>
    <row r="214" spans="21:23" ht="12.75">
      <c r="U214" s="23"/>
      <c r="V214" s="25">
        <f t="shared" si="8"/>
        <v>8.499999999999986</v>
      </c>
      <c r="W214" s="25">
        <f t="shared" si="7"/>
        <v>11.092694162378281</v>
      </c>
    </row>
    <row r="215" spans="21:23" ht="12.75">
      <c r="U215" s="23"/>
      <c r="V215" s="25">
        <f t="shared" si="8"/>
        <v>8.599999999999985</v>
      </c>
      <c r="W215" s="25">
        <f t="shared" si="7"/>
        <v>11.168157260687186</v>
      </c>
    </row>
    <row r="216" spans="21:23" ht="12.75">
      <c r="U216" s="23"/>
      <c r="V216" s="25">
        <f t="shared" si="8"/>
        <v>8.699999999999985</v>
      </c>
      <c r="W216" s="25">
        <f t="shared" si="7"/>
        <v>11.244071752101911</v>
      </c>
    </row>
    <row r="217" spans="21:23" ht="12.75">
      <c r="U217" s="23"/>
      <c r="V217" s="25">
        <f t="shared" si="8"/>
        <v>8.799999999999985</v>
      </c>
      <c r="W217" s="25">
        <f t="shared" si="7"/>
        <v>11.32043994124759</v>
      </c>
    </row>
    <row r="218" spans="21:23" ht="12.75">
      <c r="U218" s="23"/>
      <c r="V218" s="25">
        <f t="shared" si="8"/>
        <v>8.899999999999984</v>
      </c>
      <c r="W218" s="25">
        <f t="shared" si="7"/>
        <v>11.397264142305282</v>
      </c>
    </row>
    <row r="219" spans="21:23" ht="12.75">
      <c r="U219" s="23"/>
      <c r="V219" s="25">
        <f t="shared" si="8"/>
        <v>8.999999999999984</v>
      </c>
      <c r="W219" s="25">
        <f t="shared" si="7"/>
        <v>11.474546679041072</v>
      </c>
    </row>
    <row r="220" spans="21:23" ht="12.75">
      <c r="U220" s="23"/>
      <c r="V220" s="25">
        <f t="shared" si="8"/>
        <v>9.099999999999984</v>
      </c>
      <c r="W220" s="25">
        <f t="shared" si="7"/>
        <v>11.552289884835169</v>
      </c>
    </row>
    <row r="221" spans="21:23" ht="12.75">
      <c r="U221" s="23"/>
      <c r="V221" s="25">
        <f t="shared" si="8"/>
        <v>9.199999999999983</v>
      </c>
      <c r="W221" s="25">
        <f t="shared" si="7"/>
        <v>11.630496102711094</v>
      </c>
    </row>
    <row r="222" spans="21:23" ht="12.75">
      <c r="U222" s="23"/>
      <c r="V222" s="25">
        <f t="shared" si="8"/>
        <v>9.299999999999983</v>
      </c>
      <c r="W222" s="25">
        <f t="shared" si="7"/>
        <v>11.709167685364891</v>
      </c>
    </row>
    <row r="223" spans="21:23" ht="12.75">
      <c r="U223" s="23"/>
      <c r="V223" s="25">
        <f t="shared" si="8"/>
        <v>9.399999999999983</v>
      </c>
      <c r="W223" s="25">
        <f t="shared" si="7"/>
        <v>11.788306995194406</v>
      </c>
    </row>
    <row r="224" spans="21:23" ht="12.75">
      <c r="U224" s="23"/>
      <c r="V224" s="25">
        <f aca="true" t="shared" si="9" ref="V224:V255">+V223+0.1</f>
        <v>9.499999999999982</v>
      </c>
      <c r="W224" s="25">
        <f t="shared" si="7"/>
        <v>11.867916404328568</v>
      </c>
    </row>
    <row r="225" spans="21:23" ht="12.75">
      <c r="U225" s="23"/>
      <c r="V225" s="25">
        <f t="shared" si="9"/>
        <v>9.599999999999982</v>
      </c>
      <c r="W225" s="25">
        <f t="shared" si="7"/>
        <v>11.947998294656786</v>
      </c>
    </row>
    <row r="226" spans="21:23" ht="12.75">
      <c r="U226" s="23"/>
      <c r="V226" s="25">
        <f t="shared" si="9"/>
        <v>9.699999999999982</v>
      </c>
      <c r="W226" s="25">
        <f t="shared" si="7"/>
        <v>12.02855505785832</v>
      </c>
    </row>
    <row r="227" spans="21:23" ht="12.75">
      <c r="U227" s="23"/>
      <c r="V227" s="25">
        <f t="shared" si="9"/>
        <v>9.799999999999981</v>
      </c>
      <c r="W227" s="25">
        <f t="shared" si="7"/>
        <v>12.109589095431764</v>
      </c>
    </row>
    <row r="228" spans="21:23" ht="12.75">
      <c r="U228" s="23"/>
      <c r="V228" s="25">
        <f t="shared" si="9"/>
        <v>9.89999999999998</v>
      </c>
      <c r="W228" s="25">
        <f t="shared" si="7"/>
        <v>12.191102818724511</v>
      </c>
    </row>
    <row r="229" spans="21:23" ht="12.75">
      <c r="U229" s="23"/>
      <c r="V229" s="25">
        <f t="shared" si="9"/>
        <v>9.99999999999998</v>
      </c>
      <c r="W229" s="25">
        <f t="shared" si="7"/>
        <v>12.273098648962325</v>
      </c>
    </row>
    <row r="230" spans="21:23" ht="12.75">
      <c r="U230" s="23"/>
      <c r="V230" s="25">
        <f t="shared" si="9"/>
        <v>10.09999999999998</v>
      </c>
      <c r="W230" s="25">
        <f t="shared" si="7"/>
        <v>12.355579017278922</v>
      </c>
    </row>
    <row r="231" spans="21:23" ht="12.75">
      <c r="U231" s="23"/>
      <c r="V231" s="25">
        <f t="shared" si="9"/>
        <v>10.19999999999998</v>
      </c>
      <c r="W231" s="25">
        <f t="shared" si="7"/>
        <v>12.438546364745601</v>
      </c>
    </row>
    <row r="232" spans="21:23" ht="12.75">
      <c r="U232" s="23"/>
      <c r="V232" s="25">
        <f t="shared" si="9"/>
        <v>10.29999999999998</v>
      </c>
      <c r="W232" s="25">
        <f t="shared" si="7"/>
        <v>12.52200314240095</v>
      </c>
    </row>
    <row r="233" spans="21:23" ht="12.75">
      <c r="U233" s="23"/>
      <c r="V233" s="25">
        <f t="shared" si="9"/>
        <v>10.399999999999979</v>
      </c>
      <c r="W233" s="25">
        <f t="shared" si="7"/>
        <v>12.605951811280544</v>
      </c>
    </row>
    <row r="234" spans="21:23" ht="12.75">
      <c r="U234" s="23"/>
      <c r="V234" s="25">
        <f t="shared" si="9"/>
        <v>10.499999999999979</v>
      </c>
      <c r="W234" s="25">
        <f t="shared" si="7"/>
        <v>12.690394842446743</v>
      </c>
    </row>
    <row r="235" spans="21:23" ht="12.75">
      <c r="U235" s="23"/>
      <c r="V235" s="25">
        <f t="shared" si="9"/>
        <v>10.599999999999978</v>
      </c>
      <c r="W235" s="25">
        <f t="shared" si="7"/>
        <v>12.775334717018517</v>
      </c>
    </row>
    <row r="236" spans="21:23" ht="12.75">
      <c r="U236" s="23"/>
      <c r="V236" s="25">
        <f t="shared" si="9"/>
        <v>10.699999999999978</v>
      </c>
      <c r="W236" s="25">
        <f t="shared" si="7"/>
        <v>12.860773926201299</v>
      </c>
    </row>
    <row r="237" spans="21:23" ht="12.75">
      <c r="U237" s="23"/>
      <c r="V237" s="25">
        <f t="shared" si="9"/>
        <v>10.799999999999978</v>
      </c>
      <c r="W237" s="25">
        <f t="shared" si="7"/>
        <v>12.946714971316913</v>
      </c>
    </row>
    <row r="238" spans="21:23" ht="12.75">
      <c r="U238" s="23"/>
      <c r="V238" s="25">
        <f t="shared" si="9"/>
        <v>10.899999999999977</v>
      </c>
      <c r="W238" s="25">
        <f t="shared" si="7"/>
        <v>13.033160363833526</v>
      </c>
    </row>
    <row r="239" spans="21:23" ht="12.75">
      <c r="U239" s="23"/>
      <c r="V239" s="25">
        <f t="shared" si="9"/>
        <v>10.999999999999977</v>
      </c>
      <c r="W239" s="25">
        <f t="shared" si="7"/>
        <v>13.120112625395663</v>
      </c>
    </row>
    <row r="240" spans="21:23" ht="12.75">
      <c r="U240" s="23"/>
      <c r="V240" s="25">
        <f t="shared" si="9"/>
        <v>11.099999999999977</v>
      </c>
      <c r="W240" s="25">
        <f t="shared" si="7"/>
        <v>13.207574287854245</v>
      </c>
    </row>
    <row r="241" spans="21:23" ht="12.75">
      <c r="U241" s="23"/>
      <c r="V241" s="25">
        <f t="shared" si="9"/>
        <v>11.199999999999976</v>
      </c>
      <c r="W241" s="25">
        <f t="shared" si="7"/>
        <v>13.2955478932967</v>
      </c>
    </row>
    <row r="242" spans="21:23" ht="12.75">
      <c r="U242" s="23"/>
      <c r="V242" s="25">
        <f t="shared" si="9"/>
        <v>11.299999999999976</v>
      </c>
      <c r="W242" s="25">
        <f t="shared" si="7"/>
        <v>13.384035994077108</v>
      </c>
    </row>
    <row r="243" spans="21:23" ht="12.75">
      <c r="U243" s="23"/>
      <c r="V243" s="25">
        <f t="shared" si="9"/>
        <v>11.399999999999975</v>
      </c>
      <c r="W243" s="25">
        <f t="shared" si="7"/>
        <v>13.47304115284638</v>
      </c>
    </row>
    <row r="244" spans="21:23" ht="12.75">
      <c r="U244" s="23"/>
      <c r="V244" s="25">
        <f t="shared" si="9"/>
        <v>11.499999999999975</v>
      </c>
      <c r="W244" s="25">
        <f t="shared" si="7"/>
        <v>13.562565942582495</v>
      </c>
    </row>
    <row r="245" spans="21:23" ht="12.75">
      <c r="U245" s="23"/>
      <c r="V245" s="25">
        <f t="shared" si="9"/>
        <v>11.599999999999975</v>
      </c>
      <c r="W245" s="25">
        <f t="shared" si="7"/>
        <v>13.652612946620785</v>
      </c>
    </row>
    <row r="246" spans="21:23" ht="12.75">
      <c r="U246" s="23"/>
      <c r="V246" s="25">
        <f t="shared" si="9"/>
        <v>11.699999999999974</v>
      </c>
      <c r="W246" s="25">
        <f t="shared" si="7"/>
        <v>13.74318475868426</v>
      </c>
    </row>
    <row r="247" spans="21:23" ht="12.75">
      <c r="U247" s="23"/>
      <c r="V247" s="25">
        <f t="shared" si="9"/>
        <v>11.799999999999974</v>
      </c>
      <c r="W247" s="25">
        <f t="shared" si="7"/>
        <v>13.834283982913977</v>
      </c>
    </row>
    <row r="248" spans="21:23" ht="12.75">
      <c r="U248" s="23"/>
      <c r="V248" s="25">
        <f t="shared" si="9"/>
        <v>11.899999999999974</v>
      </c>
      <c r="W248" s="25">
        <f t="shared" si="7"/>
        <v>13.925913233899458</v>
      </c>
    </row>
    <row r="249" spans="21:23" ht="12.75">
      <c r="U249" s="23"/>
      <c r="V249" s="25">
        <f t="shared" si="9"/>
        <v>11.999999999999973</v>
      </c>
      <c r="W249" s="25">
        <f t="shared" si="7"/>
        <v>14.018075136709152</v>
      </c>
    </row>
    <row r="250" spans="21:23" ht="12.75">
      <c r="U250" s="23"/>
      <c r="V250" s="25">
        <f t="shared" si="9"/>
        <v>12.099999999999973</v>
      </c>
      <c r="W250" s="25">
        <f t="shared" si="7"/>
        <v>14.110772326920934</v>
      </c>
    </row>
    <row r="251" spans="21:23" ht="12.75">
      <c r="U251" s="23"/>
      <c r="V251" s="25">
        <f t="shared" si="9"/>
        <v>12.199999999999973</v>
      </c>
      <c r="W251" s="25">
        <f t="shared" si="7"/>
        <v>14.20400745065267</v>
      </c>
    </row>
    <row r="252" spans="21:23" ht="12.75">
      <c r="U252" s="23"/>
      <c r="V252" s="25">
        <f t="shared" si="9"/>
        <v>12.299999999999972</v>
      </c>
      <c r="W252" s="25">
        <f t="shared" si="7"/>
        <v>14.297783164592806</v>
      </c>
    </row>
    <row r="253" spans="21:23" ht="12.75">
      <c r="U253" s="23"/>
      <c r="V253" s="25">
        <f t="shared" si="9"/>
        <v>12.399999999999972</v>
      </c>
      <c r="W253" s="25">
        <f t="shared" si="7"/>
        <v>14.392102136031014</v>
      </c>
    </row>
    <row r="254" spans="21:23" ht="12.75">
      <c r="U254" s="23"/>
      <c r="V254" s="25">
        <f t="shared" si="9"/>
        <v>12.499999999999972</v>
      </c>
      <c r="W254" s="25">
        <f t="shared" si="7"/>
        <v>14.486967042888875</v>
      </c>
    </row>
    <row r="255" spans="21:23" ht="12.75">
      <c r="U255" s="23"/>
      <c r="V255" s="25">
        <f t="shared" si="9"/>
        <v>12.599999999999971</v>
      </c>
      <c r="W255" s="25">
        <f aca="true" t="shared" si="10" ref="W255:W318">0.01*610.5*EXP(1)^((17.269*V255)/(237.3+V255))</f>
        <v>14.582380573750603</v>
      </c>
    </row>
    <row r="256" spans="21:23" ht="12.75">
      <c r="U256" s="23"/>
      <c r="V256" s="25">
        <f aca="true" t="shared" si="11" ref="V256:V312">+V255+0.1</f>
        <v>12.69999999999997</v>
      </c>
      <c r="W256" s="25">
        <f t="shared" si="10"/>
        <v>14.678345427893849</v>
      </c>
    </row>
    <row r="257" spans="21:23" ht="12.75">
      <c r="U257" s="23"/>
      <c r="V257" s="25">
        <f t="shared" si="11"/>
        <v>12.79999999999997</v>
      </c>
      <c r="W257" s="25">
        <f t="shared" si="10"/>
        <v>14.774864315320485</v>
      </c>
    </row>
    <row r="258" spans="21:23" ht="12.75">
      <c r="U258" s="23"/>
      <c r="V258" s="25">
        <f t="shared" si="11"/>
        <v>12.89999999999997</v>
      </c>
      <c r="W258" s="25">
        <f t="shared" si="10"/>
        <v>14.8719399567875</v>
      </c>
    </row>
    <row r="259" spans="21:23" ht="12.75">
      <c r="U259" s="23"/>
      <c r="V259" s="25">
        <f t="shared" si="11"/>
        <v>12.99999999999997</v>
      </c>
      <c r="W259" s="25">
        <f t="shared" si="10"/>
        <v>14.969575083837896</v>
      </c>
    </row>
    <row r="260" spans="21:23" ht="12.75">
      <c r="U260" s="23"/>
      <c r="V260" s="25">
        <f t="shared" si="11"/>
        <v>13.09999999999997</v>
      </c>
      <c r="W260" s="25">
        <f t="shared" si="10"/>
        <v>15.067772438831646</v>
      </c>
    </row>
    <row r="261" spans="21:23" ht="12.75">
      <c r="U261" s="23"/>
      <c r="V261" s="25">
        <f t="shared" si="11"/>
        <v>13.199999999999969</v>
      </c>
      <c r="W261" s="25">
        <f t="shared" si="10"/>
        <v>15.166534774976686</v>
      </c>
    </row>
    <row r="262" spans="21:23" ht="12.75">
      <c r="U262" s="23"/>
      <c r="V262" s="25">
        <f t="shared" si="11"/>
        <v>13.299999999999969</v>
      </c>
      <c r="W262" s="25">
        <f t="shared" si="10"/>
        <v>15.26586485635998</v>
      </c>
    </row>
    <row r="263" spans="21:23" ht="12.75">
      <c r="U263" s="23"/>
      <c r="V263" s="25">
        <f t="shared" si="11"/>
        <v>13.399999999999968</v>
      </c>
      <c r="W263" s="25">
        <f t="shared" si="10"/>
        <v>15.365765457978576</v>
      </c>
    </row>
    <row r="264" spans="21:23" ht="12.75">
      <c r="U264" s="23"/>
      <c r="V264" s="25">
        <f t="shared" si="11"/>
        <v>13.499999999999968</v>
      </c>
      <c r="W264" s="25">
        <f t="shared" si="10"/>
        <v>15.466239365770765</v>
      </c>
    </row>
    <row r="265" spans="21:23" ht="12.75">
      <c r="U265" s="23"/>
      <c r="V265" s="25">
        <f t="shared" si="11"/>
        <v>13.599999999999968</v>
      </c>
      <c r="W265" s="25">
        <f t="shared" si="10"/>
        <v>15.567289376647249</v>
      </c>
    </row>
    <row r="266" spans="21:23" ht="12.75">
      <c r="U266" s="23"/>
      <c r="V266" s="25">
        <f t="shared" si="11"/>
        <v>13.699999999999967</v>
      </c>
      <c r="W266" s="25">
        <f t="shared" si="10"/>
        <v>15.668918298522355</v>
      </c>
    </row>
    <row r="267" spans="21:23" ht="12.75">
      <c r="U267" s="23"/>
      <c r="V267" s="25">
        <f t="shared" si="11"/>
        <v>13.799999999999967</v>
      </c>
      <c r="W267" s="25">
        <f t="shared" si="10"/>
        <v>15.7711289503453</v>
      </c>
    </row>
    <row r="268" spans="21:23" ht="12.75">
      <c r="U268" s="23"/>
      <c r="V268" s="25">
        <f t="shared" si="11"/>
        <v>13.899999999999967</v>
      </c>
      <c r="W268" s="25">
        <f t="shared" si="10"/>
        <v>15.873924162131512</v>
      </c>
    </row>
    <row r="269" spans="21:23" ht="12.75">
      <c r="U269" s="23"/>
      <c r="V269" s="25">
        <f t="shared" si="11"/>
        <v>13.999999999999966</v>
      </c>
      <c r="W269" s="25">
        <f t="shared" si="10"/>
        <v>15.97730677499397</v>
      </c>
    </row>
    <row r="270" spans="21:23" ht="12.75">
      <c r="U270" s="23"/>
      <c r="V270" s="25">
        <f t="shared" si="11"/>
        <v>14.099999999999966</v>
      </c>
      <c r="W270" s="25">
        <f t="shared" si="10"/>
        <v>16.0812796411746</v>
      </c>
    </row>
    <row r="271" spans="21:23" ht="12.75">
      <c r="U271" s="23"/>
      <c r="V271" s="25">
        <f t="shared" si="11"/>
        <v>14.199999999999966</v>
      </c>
      <c r="W271" s="25">
        <f t="shared" si="10"/>
        <v>16.18584562407571</v>
      </c>
    </row>
    <row r="272" spans="21:23" ht="12.75">
      <c r="U272" s="23"/>
      <c r="V272" s="25">
        <f t="shared" si="11"/>
        <v>14.299999999999965</v>
      </c>
      <c r="W272" s="25">
        <f t="shared" si="10"/>
        <v>16.291007598291497</v>
      </c>
    </row>
    <row r="273" spans="21:23" ht="12.75">
      <c r="U273" s="23"/>
      <c r="V273" s="25">
        <f t="shared" si="11"/>
        <v>14.399999999999965</v>
      </c>
      <c r="W273" s="25">
        <f t="shared" si="10"/>
        <v>16.39676844963954</v>
      </c>
    </row>
    <row r="274" spans="21:23" ht="12.75">
      <c r="U274" s="23"/>
      <c r="V274" s="25">
        <f t="shared" si="11"/>
        <v>14.499999999999964</v>
      </c>
      <c r="W274" s="25">
        <f t="shared" si="10"/>
        <v>16.5031310751924</v>
      </c>
    </row>
    <row r="275" spans="21:23" ht="12.75">
      <c r="U275" s="23"/>
      <c r="V275" s="25">
        <f t="shared" si="11"/>
        <v>14.599999999999964</v>
      </c>
      <c r="W275" s="25">
        <f t="shared" si="10"/>
        <v>16.610098383309207</v>
      </c>
    </row>
    <row r="276" spans="21:23" ht="12.75">
      <c r="U276" s="23"/>
      <c r="V276" s="25">
        <f t="shared" si="11"/>
        <v>14.699999999999964</v>
      </c>
      <c r="W276" s="25">
        <f t="shared" si="10"/>
        <v>16.717673293667342</v>
      </c>
    </row>
    <row r="277" spans="21:23" ht="12.75">
      <c r="U277" s="23"/>
      <c r="V277" s="25">
        <f t="shared" si="11"/>
        <v>14.799999999999963</v>
      </c>
      <c r="W277" s="25">
        <f t="shared" si="10"/>
        <v>16.82585873729411</v>
      </c>
    </row>
    <row r="278" spans="21:23" ht="12.75">
      <c r="U278" s="23"/>
      <c r="V278" s="25">
        <f t="shared" si="11"/>
        <v>14.899999999999963</v>
      </c>
      <c r="W278" s="25">
        <f t="shared" si="10"/>
        <v>16.93465765659851</v>
      </c>
    </row>
    <row r="279" spans="21:23" ht="12.75">
      <c r="U279" s="23"/>
      <c r="V279" s="25">
        <f t="shared" si="11"/>
        <v>14.999999999999963</v>
      </c>
      <c r="W279" s="25">
        <f t="shared" si="10"/>
        <v>17.044073005403007</v>
      </c>
    </row>
    <row r="280" spans="21:23" ht="12.75">
      <c r="U280" s="23"/>
      <c r="V280" s="25">
        <f t="shared" si="11"/>
        <v>15.099999999999962</v>
      </c>
      <c r="W280" s="25">
        <f t="shared" si="10"/>
        <v>17.15410774897536</v>
      </c>
    </row>
    <row r="281" spans="21:23" ht="12.75">
      <c r="U281" s="23"/>
      <c r="V281" s="25">
        <f t="shared" si="11"/>
        <v>15.199999999999962</v>
      </c>
      <c r="W281" s="25">
        <f t="shared" si="10"/>
        <v>17.264764864060496</v>
      </c>
    </row>
    <row r="282" spans="21:23" ht="12.75">
      <c r="U282" s="23"/>
      <c r="V282" s="25">
        <f t="shared" si="11"/>
        <v>15.299999999999962</v>
      </c>
      <c r="W282" s="25">
        <f t="shared" si="10"/>
        <v>17.37604733891242</v>
      </c>
    </row>
    <row r="283" spans="21:23" ht="12.75">
      <c r="U283" s="23"/>
      <c r="V283" s="25">
        <f t="shared" si="11"/>
        <v>15.399999999999961</v>
      </c>
      <c r="W283" s="25">
        <f t="shared" si="10"/>
        <v>17.487958173326195</v>
      </c>
    </row>
    <row r="284" spans="21:23" ht="12.75">
      <c r="U284" s="23"/>
      <c r="V284" s="25">
        <f t="shared" si="11"/>
        <v>15.499999999999961</v>
      </c>
      <c r="W284" s="25">
        <f t="shared" si="10"/>
        <v>17.60050037866992</v>
      </c>
    </row>
    <row r="285" spans="21:23" ht="12.75">
      <c r="U285" s="23"/>
      <c r="V285" s="25">
        <f t="shared" si="11"/>
        <v>15.59999999999996</v>
      </c>
      <c r="W285" s="25">
        <f t="shared" si="10"/>
        <v>17.713676977916776</v>
      </c>
    </row>
    <row r="286" spans="21:23" ht="12.75">
      <c r="U286" s="23"/>
      <c r="V286" s="25">
        <f t="shared" si="11"/>
        <v>15.69999999999996</v>
      </c>
      <c r="W286" s="25">
        <f t="shared" si="10"/>
        <v>17.82749100567711</v>
      </c>
    </row>
    <row r="287" spans="21:23" ht="12.75">
      <c r="U287" s="23"/>
      <c r="V287" s="25">
        <f t="shared" si="11"/>
        <v>15.79999999999996</v>
      </c>
      <c r="W287" s="25">
        <f t="shared" si="10"/>
        <v>17.941945508230578</v>
      </c>
    </row>
    <row r="288" spans="21:23" ht="12.75">
      <c r="U288" s="23"/>
      <c r="V288" s="25">
        <f t="shared" si="11"/>
        <v>15.89999999999996</v>
      </c>
      <c r="W288" s="25">
        <f t="shared" si="10"/>
        <v>18.0570435435583</v>
      </c>
    </row>
    <row r="289" spans="21:23" ht="12.75">
      <c r="U289" s="23"/>
      <c r="V289" s="25">
        <f t="shared" si="11"/>
        <v>15.99999999999996</v>
      </c>
      <c r="W289" s="25">
        <f t="shared" si="10"/>
        <v>18.172788181375076</v>
      </c>
    </row>
    <row r="290" spans="21:23" ht="12.75">
      <c r="U290" s="23"/>
      <c r="V290" s="25">
        <f t="shared" si="11"/>
        <v>16.09999999999996</v>
      </c>
      <c r="W290" s="25">
        <f t="shared" si="10"/>
        <v>18.28918250316165</v>
      </c>
    </row>
    <row r="291" spans="21:23" ht="12.75">
      <c r="U291" s="23"/>
      <c r="V291" s="25">
        <f t="shared" si="11"/>
        <v>16.19999999999996</v>
      </c>
      <c r="W291" s="25">
        <f t="shared" si="10"/>
        <v>18.406229602197</v>
      </c>
    </row>
    <row r="292" spans="21:23" ht="12.75">
      <c r="U292" s="23"/>
      <c r="V292" s="25">
        <f t="shared" si="11"/>
        <v>16.29999999999996</v>
      </c>
      <c r="W292" s="25">
        <f t="shared" si="10"/>
        <v>18.523932583590668</v>
      </c>
    </row>
    <row r="293" spans="21:23" ht="12.75">
      <c r="U293" s="23"/>
      <c r="V293" s="25">
        <f t="shared" si="11"/>
        <v>16.399999999999963</v>
      </c>
      <c r="W293" s="25">
        <f t="shared" si="10"/>
        <v>18.642294564315154</v>
      </c>
    </row>
    <row r="294" spans="21:23" ht="12.75">
      <c r="U294" s="23"/>
      <c r="V294" s="25">
        <f t="shared" si="11"/>
        <v>16.499999999999964</v>
      </c>
      <c r="W294" s="25">
        <f t="shared" si="10"/>
        <v>18.761318673238343</v>
      </c>
    </row>
    <row r="295" spans="21:23" ht="12.75">
      <c r="U295" s="23"/>
      <c r="V295" s="25">
        <f t="shared" si="11"/>
        <v>16.599999999999966</v>
      </c>
      <c r="W295" s="25">
        <f t="shared" si="10"/>
        <v>18.881008051155945</v>
      </c>
    </row>
    <row r="296" spans="21:23" ht="12.75">
      <c r="U296" s="23"/>
      <c r="V296" s="25">
        <f t="shared" si="11"/>
        <v>16.699999999999967</v>
      </c>
      <c r="W296" s="25">
        <f t="shared" si="10"/>
        <v>19.001365850824033</v>
      </c>
    </row>
    <row r="297" spans="21:23" ht="12.75">
      <c r="U297" s="23"/>
      <c r="V297" s="25">
        <f t="shared" si="11"/>
        <v>16.79999999999997</v>
      </c>
      <c r="W297" s="25">
        <f t="shared" si="10"/>
        <v>19.122395236991576</v>
      </c>
    </row>
    <row r="298" spans="21:23" ht="12.75">
      <c r="U298" s="23"/>
      <c r="V298" s="25">
        <f t="shared" si="11"/>
        <v>16.89999999999997</v>
      </c>
      <c r="W298" s="25">
        <f t="shared" si="10"/>
        <v>19.244099386433025</v>
      </c>
    </row>
    <row r="299" spans="21:23" ht="12.75">
      <c r="U299" s="23"/>
      <c r="V299" s="25">
        <f t="shared" si="11"/>
        <v>16.99999999999997</v>
      </c>
      <c r="W299" s="25">
        <f t="shared" si="10"/>
        <v>19.366481487980938</v>
      </c>
    </row>
    <row r="300" spans="21:23" ht="12.75">
      <c r="U300" s="23"/>
      <c r="V300" s="25">
        <f t="shared" si="11"/>
        <v>17.099999999999973</v>
      </c>
      <c r="W300" s="25">
        <f t="shared" si="10"/>
        <v>19.48954474255868</v>
      </c>
    </row>
    <row r="301" spans="21:23" ht="12.75">
      <c r="U301" s="23"/>
      <c r="V301" s="25">
        <f t="shared" si="11"/>
        <v>17.199999999999974</v>
      </c>
      <c r="W301" s="25">
        <f t="shared" si="10"/>
        <v>19.613292363213112</v>
      </c>
    </row>
    <row r="302" spans="21:23" ht="12.75">
      <c r="U302" s="23"/>
      <c r="V302" s="25">
        <f t="shared" si="11"/>
        <v>17.299999999999976</v>
      </c>
      <c r="W302" s="25">
        <f t="shared" si="10"/>
        <v>19.737727575147353</v>
      </c>
    </row>
    <row r="303" spans="21:23" ht="12.75">
      <c r="U303" s="23"/>
      <c r="V303" s="25">
        <f t="shared" si="11"/>
        <v>17.399999999999977</v>
      </c>
      <c r="W303" s="25">
        <f t="shared" si="10"/>
        <v>19.862853615753586</v>
      </c>
    </row>
    <row r="304" spans="21:23" ht="12.75">
      <c r="U304" s="23"/>
      <c r="V304" s="25">
        <f t="shared" si="11"/>
        <v>17.49999999999998</v>
      </c>
      <c r="W304" s="25">
        <f t="shared" si="10"/>
        <v>19.988673734645857</v>
      </c>
    </row>
    <row r="305" spans="21:23" ht="12.75">
      <c r="U305" s="23"/>
      <c r="V305" s="25">
        <f t="shared" si="11"/>
        <v>17.59999999999998</v>
      </c>
      <c r="W305" s="25">
        <f t="shared" si="10"/>
        <v>20.11519119369303</v>
      </c>
    </row>
    <row r="306" spans="21:23" ht="12.75">
      <c r="U306" s="23"/>
      <c r="V306" s="25">
        <f t="shared" si="11"/>
        <v>17.69999999999998</v>
      </c>
      <c r="W306" s="25">
        <f t="shared" si="10"/>
        <v>20.242409267051606</v>
      </c>
    </row>
    <row r="307" spans="21:23" ht="12.75">
      <c r="U307" s="23"/>
      <c r="V307" s="25">
        <f t="shared" si="11"/>
        <v>17.799999999999983</v>
      </c>
      <c r="W307" s="25">
        <f t="shared" si="10"/>
        <v>20.370331241198777</v>
      </c>
    </row>
    <row r="308" spans="21:23" ht="12.75">
      <c r="U308" s="23"/>
      <c r="V308" s="25">
        <f t="shared" si="11"/>
        <v>17.899999999999984</v>
      </c>
      <c r="W308" s="25">
        <f t="shared" si="10"/>
        <v>20.498960414965357</v>
      </c>
    </row>
    <row r="309" spans="21:23" ht="12.75">
      <c r="U309" s="23"/>
      <c r="V309" s="25">
        <f t="shared" si="11"/>
        <v>17.999999999999986</v>
      </c>
      <c r="W309" s="25">
        <f t="shared" si="10"/>
        <v>20.628300099568854</v>
      </c>
    </row>
    <row r="310" spans="21:23" ht="12.75">
      <c r="U310" s="23"/>
      <c r="V310" s="25">
        <f t="shared" si="11"/>
        <v>18.099999999999987</v>
      </c>
      <c r="W310" s="25">
        <f t="shared" si="10"/>
        <v>20.758353618646574</v>
      </c>
    </row>
    <row r="311" spans="21:23" ht="12.75">
      <c r="U311" s="23"/>
      <c r="V311" s="25">
        <f t="shared" si="11"/>
        <v>18.19999999999999</v>
      </c>
      <c r="W311" s="25">
        <f t="shared" si="10"/>
        <v>20.88912430828868</v>
      </c>
    </row>
    <row r="312" spans="21:23" ht="12.75">
      <c r="U312" s="23"/>
      <c r="V312" s="25">
        <f t="shared" si="11"/>
        <v>18.29999999999999</v>
      </c>
      <c r="W312" s="25">
        <f t="shared" si="10"/>
        <v>21.020615517071427</v>
      </c>
    </row>
    <row r="313" spans="21:23" ht="12.75">
      <c r="U313" s="23"/>
      <c r="V313" s="25">
        <f aca="true" t="shared" si="12" ref="V313:V344">+V312+0.1</f>
        <v>18.39999999999999</v>
      </c>
      <c r="W313" s="25">
        <f t="shared" si="10"/>
        <v>21.152830606090287</v>
      </c>
    </row>
    <row r="314" spans="21:23" ht="12.75">
      <c r="U314" s="23"/>
      <c r="V314" s="25">
        <f t="shared" si="12"/>
        <v>18.499999999999993</v>
      </c>
      <c r="W314" s="25">
        <f t="shared" si="10"/>
        <v>21.28577294899328</v>
      </c>
    </row>
    <row r="315" spans="21:23" ht="12.75">
      <c r="U315" s="23"/>
      <c r="V315" s="25">
        <f t="shared" si="12"/>
        <v>18.599999999999994</v>
      </c>
      <c r="W315" s="25">
        <f t="shared" si="10"/>
        <v>21.419445932014188</v>
      </c>
    </row>
    <row r="316" spans="21:23" ht="12.75">
      <c r="U316" s="23"/>
      <c r="V316" s="25">
        <f t="shared" si="12"/>
        <v>18.699999999999996</v>
      </c>
      <c r="W316" s="25">
        <f t="shared" si="10"/>
        <v>21.55385295400589</v>
      </c>
    </row>
    <row r="317" spans="21:23" ht="12.75">
      <c r="U317" s="23"/>
      <c r="V317" s="25">
        <f t="shared" si="12"/>
        <v>18.799999999999997</v>
      </c>
      <c r="W317" s="25">
        <f t="shared" si="10"/>
        <v>21.688997426473758</v>
      </c>
    </row>
    <row r="318" spans="21:23" ht="12.75">
      <c r="U318" s="23"/>
      <c r="V318" s="25">
        <f t="shared" si="12"/>
        <v>18.9</v>
      </c>
      <c r="W318" s="25">
        <f t="shared" si="10"/>
        <v>21.82488277360903</v>
      </c>
    </row>
    <row r="319" spans="21:23" ht="12.75">
      <c r="U319" s="23"/>
      <c r="V319" s="25">
        <f t="shared" si="12"/>
        <v>19</v>
      </c>
      <c r="W319" s="25">
        <f aca="true" t="shared" si="13" ref="W319:W350">0.01*610.5*EXP(1)^((17.269*V319)/(237.3+V319))</f>
        <v>21.961512432322255</v>
      </c>
    </row>
    <row r="320" spans="21:23" ht="12.75">
      <c r="U320" s="23"/>
      <c r="V320" s="25">
        <f t="shared" si="12"/>
        <v>19.1</v>
      </c>
      <c r="W320" s="25">
        <f t="shared" si="13"/>
        <v>22.098889852276777</v>
      </c>
    </row>
    <row r="321" spans="21:23" ht="12.75">
      <c r="U321" s="23"/>
      <c r="V321" s="25">
        <f t="shared" si="12"/>
        <v>19.200000000000003</v>
      </c>
      <c r="W321" s="25">
        <f t="shared" si="13"/>
        <v>22.23701849592228</v>
      </c>
    </row>
    <row r="322" spans="21:23" ht="12.75">
      <c r="U322" s="23"/>
      <c r="V322" s="25">
        <f t="shared" si="12"/>
        <v>19.300000000000004</v>
      </c>
      <c r="W322" s="25">
        <f t="shared" si="13"/>
        <v>22.375901838528296</v>
      </c>
    </row>
    <row r="323" spans="21:23" ht="12.75">
      <c r="U323" s="23"/>
      <c r="V323" s="25">
        <f t="shared" si="12"/>
        <v>19.400000000000006</v>
      </c>
      <c r="W323" s="25">
        <f t="shared" si="13"/>
        <v>22.51554336821786</v>
      </c>
    </row>
    <row r="324" spans="21:23" ht="12.75">
      <c r="U324" s="23"/>
      <c r="V324" s="25">
        <f t="shared" si="12"/>
        <v>19.500000000000007</v>
      </c>
      <c r="W324" s="25">
        <f t="shared" si="13"/>
        <v>22.65594658600114</v>
      </c>
    </row>
    <row r="325" spans="21:23" ht="12.75">
      <c r="U325" s="23"/>
      <c r="V325" s="25">
        <f t="shared" si="12"/>
        <v>19.60000000000001</v>
      </c>
      <c r="W325" s="25">
        <f t="shared" si="13"/>
        <v>22.79711500580905</v>
      </c>
    </row>
    <row r="326" spans="21:23" ht="12.75">
      <c r="U326" s="23"/>
      <c r="V326" s="25">
        <f t="shared" si="12"/>
        <v>19.70000000000001</v>
      </c>
      <c r="W326" s="25">
        <f t="shared" si="13"/>
        <v>22.939052154527094</v>
      </c>
    </row>
    <row r="327" spans="21:23" ht="12.75">
      <c r="U327" s="23"/>
      <c r="V327" s="25">
        <f t="shared" si="12"/>
        <v>19.80000000000001</v>
      </c>
      <c r="W327" s="25">
        <f t="shared" si="13"/>
        <v>23.081761572028974</v>
      </c>
    </row>
    <row r="328" spans="21:23" ht="12.75">
      <c r="U328" s="23"/>
      <c r="V328" s="25">
        <f t="shared" si="12"/>
        <v>19.900000000000013</v>
      </c>
      <c r="W328" s="25">
        <f t="shared" si="13"/>
        <v>23.225246811210518</v>
      </c>
    </row>
    <row r="329" spans="21:23" ht="12.75">
      <c r="U329" s="23"/>
      <c r="V329" s="25">
        <f t="shared" si="12"/>
        <v>20.000000000000014</v>
      </c>
      <c r="W329" s="25">
        <f t="shared" si="13"/>
        <v>23.369511438023444</v>
      </c>
    </row>
    <row r="330" spans="21:23" ht="12.75">
      <c r="U330" s="23"/>
      <c r="V330" s="25">
        <f t="shared" si="12"/>
        <v>20.100000000000016</v>
      </c>
      <c r="W330" s="25">
        <f t="shared" si="13"/>
        <v>23.514559031509215</v>
      </c>
    </row>
    <row r="331" spans="21:23" ht="12.75">
      <c r="U331" s="23"/>
      <c r="V331" s="25">
        <f t="shared" si="12"/>
        <v>20.200000000000017</v>
      </c>
      <c r="W331" s="25">
        <f t="shared" si="13"/>
        <v>23.660393183833037</v>
      </c>
    </row>
    <row r="332" spans="21:23" ht="12.75">
      <c r="U332" s="23"/>
      <c r="V332" s="25">
        <f t="shared" si="12"/>
        <v>20.30000000000002</v>
      </c>
      <c r="W332" s="25">
        <f t="shared" si="13"/>
        <v>23.8070175003177</v>
      </c>
    </row>
    <row r="333" spans="21:23" ht="12.75">
      <c r="U333" s="23"/>
      <c r="V333" s="25">
        <f t="shared" si="12"/>
        <v>20.40000000000002</v>
      </c>
      <c r="W333" s="25">
        <f t="shared" si="13"/>
        <v>23.95443559947766</v>
      </c>
    </row>
    <row r="334" spans="21:23" ht="12.75">
      <c r="U334" s="23"/>
      <c r="V334" s="25">
        <f t="shared" si="12"/>
        <v>20.50000000000002</v>
      </c>
      <c r="W334" s="25">
        <f t="shared" si="13"/>
        <v>24.10265111305302</v>
      </c>
    </row>
    <row r="335" spans="21:23" ht="12.75">
      <c r="U335" s="23"/>
      <c r="V335" s="25">
        <f t="shared" si="12"/>
        <v>20.600000000000023</v>
      </c>
      <c r="W335" s="25">
        <f t="shared" si="13"/>
        <v>24.25166768604357</v>
      </c>
    </row>
    <row r="336" spans="21:23" ht="12.75">
      <c r="U336" s="23"/>
      <c r="V336" s="25">
        <f t="shared" si="12"/>
        <v>20.700000000000024</v>
      </c>
      <c r="W336" s="25">
        <f t="shared" si="13"/>
        <v>24.40148897674298</v>
      </c>
    </row>
    <row r="337" spans="21:23" ht="12.75">
      <c r="U337" s="23"/>
      <c r="V337" s="25">
        <f t="shared" si="12"/>
        <v>20.800000000000026</v>
      </c>
      <c r="W337" s="25">
        <f t="shared" si="13"/>
        <v>24.55211865677284</v>
      </c>
    </row>
    <row r="338" spans="21:23" ht="12.75">
      <c r="U338" s="23"/>
      <c r="V338" s="25">
        <f t="shared" si="12"/>
        <v>20.900000000000027</v>
      </c>
      <c r="W338" s="25">
        <f t="shared" si="13"/>
        <v>24.703560411116907</v>
      </c>
    </row>
    <row r="339" spans="21:23" ht="12.75">
      <c r="U339" s="23"/>
      <c r="V339" s="25">
        <f t="shared" si="12"/>
        <v>21.00000000000003</v>
      </c>
      <c r="W339" s="25">
        <f t="shared" si="13"/>
        <v>24.85581793815527</v>
      </c>
    </row>
    <row r="340" spans="21:23" ht="12.75">
      <c r="U340" s="23"/>
      <c r="V340" s="25">
        <f t="shared" si="12"/>
        <v>21.10000000000003</v>
      </c>
      <c r="W340" s="25">
        <f t="shared" si="13"/>
        <v>25.008894949698682</v>
      </c>
    </row>
    <row r="341" spans="21:23" ht="12.75">
      <c r="U341" s="23"/>
      <c r="V341" s="25">
        <f t="shared" si="12"/>
        <v>21.20000000000003</v>
      </c>
      <c r="W341" s="25">
        <f t="shared" si="13"/>
        <v>25.16279517102275</v>
      </c>
    </row>
    <row r="342" spans="21:23" ht="12.75">
      <c r="U342" s="23"/>
      <c r="V342" s="25">
        <f t="shared" si="12"/>
        <v>21.300000000000033</v>
      </c>
      <c r="W342" s="25">
        <f t="shared" si="13"/>
        <v>25.317522340902375</v>
      </c>
    </row>
    <row r="343" spans="21:23" ht="12.75">
      <c r="U343" s="23"/>
      <c r="V343" s="25">
        <f t="shared" si="12"/>
        <v>21.400000000000034</v>
      </c>
      <c r="W343" s="25">
        <f t="shared" si="13"/>
        <v>25.47308021164601</v>
      </c>
    </row>
    <row r="344" spans="21:23" ht="12.75">
      <c r="U344" s="23"/>
      <c r="V344" s="25">
        <f t="shared" si="12"/>
        <v>21.500000000000036</v>
      </c>
      <c r="W344" s="25">
        <f t="shared" si="13"/>
        <v>25.629472549130146</v>
      </c>
    </row>
    <row r="345" spans="21:23" ht="12.75">
      <c r="U345" s="23"/>
      <c r="V345" s="25">
        <f aca="true" t="shared" si="14" ref="V345:V377">+V344+0.1</f>
        <v>21.600000000000037</v>
      </c>
      <c r="W345" s="25">
        <f t="shared" si="13"/>
        <v>25.78670313283375</v>
      </c>
    </row>
    <row r="346" spans="21:23" ht="12.75">
      <c r="U346" s="23"/>
      <c r="V346" s="25">
        <f t="shared" si="14"/>
        <v>21.70000000000004</v>
      </c>
      <c r="W346" s="25">
        <f t="shared" si="13"/>
        <v>25.944775755872662</v>
      </c>
    </row>
    <row r="347" spans="21:23" ht="12.75">
      <c r="U347" s="23"/>
      <c r="V347" s="25">
        <f t="shared" si="14"/>
        <v>21.80000000000004</v>
      </c>
      <c r="W347" s="25">
        <f t="shared" si="13"/>
        <v>26.10369422503424</v>
      </c>
    </row>
    <row r="348" spans="21:23" ht="12.75">
      <c r="U348" s="23"/>
      <c r="V348" s="25">
        <f t="shared" si="14"/>
        <v>21.90000000000004</v>
      </c>
      <c r="W348" s="25">
        <f t="shared" si="13"/>
        <v>26.26346236081179</v>
      </c>
    </row>
    <row r="349" spans="21:23" ht="12.75">
      <c r="U349" s="23"/>
      <c r="V349" s="25">
        <f t="shared" si="14"/>
        <v>22.000000000000043</v>
      </c>
      <c r="W349" s="25">
        <f t="shared" si="13"/>
        <v>26.42408399743923</v>
      </c>
    </row>
    <row r="350" spans="21:23" ht="12.75">
      <c r="U350" s="23"/>
      <c r="V350" s="25">
        <f t="shared" si="14"/>
        <v>22.100000000000044</v>
      </c>
      <c r="W350" s="25">
        <f t="shared" si="13"/>
        <v>26.585562982925712</v>
      </c>
    </row>
    <row r="351" spans="21:23" ht="12.75">
      <c r="U351" s="23"/>
      <c r="V351" s="25">
        <f t="shared" si="14"/>
        <v>22.200000000000045</v>
      </c>
      <c r="W351" s="25">
        <f aca="true" t="shared" si="15" ref="W351:W377">0.01*610.5*EXP(1)^((17.269*V351)/(237.3+V351))</f>
        <v>26.747903179090233</v>
      </c>
    </row>
    <row r="352" spans="21:23" ht="12.75">
      <c r="U352" s="23"/>
      <c r="V352" s="25">
        <f t="shared" si="14"/>
        <v>22.300000000000047</v>
      </c>
      <c r="W352" s="25">
        <f t="shared" si="15"/>
        <v>26.911108461596402</v>
      </c>
    </row>
    <row r="353" spans="21:23" ht="12.75">
      <c r="U353" s="23"/>
      <c r="V353" s="25">
        <f t="shared" si="14"/>
        <v>22.40000000000005</v>
      </c>
      <c r="W353" s="25">
        <f t="shared" si="15"/>
        <v>27.07518271998718</v>
      </c>
    </row>
    <row r="354" spans="21:23" ht="12.75">
      <c r="U354" s="23"/>
      <c r="V354" s="25">
        <f t="shared" si="14"/>
        <v>22.50000000000005</v>
      </c>
      <c r="W354" s="25">
        <f t="shared" si="15"/>
        <v>27.240129857719523</v>
      </c>
    </row>
    <row r="355" spans="21:23" ht="12.75">
      <c r="U355" s="23"/>
      <c r="V355" s="25">
        <f t="shared" si="14"/>
        <v>22.60000000000005</v>
      </c>
      <c r="W355" s="25">
        <f t="shared" si="15"/>
        <v>27.40595379219938</v>
      </c>
    </row>
    <row r="356" spans="21:23" ht="12.75">
      <c r="U356" s="23"/>
      <c r="V356" s="25">
        <f t="shared" si="14"/>
        <v>22.700000000000053</v>
      </c>
      <c r="W356" s="25">
        <f t="shared" si="15"/>
        <v>27.57265845481642</v>
      </c>
    </row>
    <row r="357" spans="21:23" ht="12.75">
      <c r="U357" s="23"/>
      <c r="V357" s="25">
        <f t="shared" si="14"/>
        <v>22.800000000000054</v>
      </c>
      <c r="W357" s="25">
        <f t="shared" si="15"/>
        <v>27.740247790978916</v>
      </c>
    </row>
    <row r="358" spans="21:23" ht="12.75">
      <c r="U358" s="23"/>
      <c r="V358" s="25">
        <f t="shared" si="14"/>
        <v>22.900000000000055</v>
      </c>
      <c r="W358" s="25">
        <f t="shared" si="15"/>
        <v>27.908725760148712</v>
      </c>
    </row>
    <row r="359" spans="21:23" ht="12.75">
      <c r="U359" s="23"/>
      <c r="V359" s="25">
        <f t="shared" si="14"/>
        <v>23.000000000000057</v>
      </c>
      <c r="W359" s="25">
        <f t="shared" si="15"/>
        <v>28.07809633587613</v>
      </c>
    </row>
    <row r="360" spans="21:23" ht="12.75">
      <c r="U360" s="23"/>
      <c r="V360" s="25">
        <f t="shared" si="14"/>
        <v>23.10000000000006</v>
      </c>
      <c r="W360" s="25">
        <f t="shared" si="15"/>
        <v>28.248363505835012</v>
      </c>
    </row>
    <row r="361" spans="21:23" ht="12.75">
      <c r="U361" s="23"/>
      <c r="V361" s="25">
        <f t="shared" si="14"/>
        <v>23.20000000000006</v>
      </c>
      <c r="W361" s="25">
        <f t="shared" si="15"/>
        <v>28.41953127185768</v>
      </c>
    </row>
    <row r="362" spans="21:23" ht="12.75">
      <c r="U362" s="23"/>
      <c r="V362" s="25">
        <f t="shared" si="14"/>
        <v>23.30000000000006</v>
      </c>
      <c r="W362" s="25">
        <f t="shared" si="15"/>
        <v>28.59160364997004</v>
      </c>
    </row>
    <row r="363" spans="21:23" ht="12.75">
      <c r="U363" s="23"/>
      <c r="V363" s="25">
        <f t="shared" si="14"/>
        <v>23.400000000000063</v>
      </c>
      <c r="W363" s="25">
        <f t="shared" si="15"/>
        <v>28.76458467042666</v>
      </c>
    </row>
    <row r="364" spans="21:23" ht="12.75">
      <c r="U364" s="23"/>
      <c r="V364" s="25">
        <f t="shared" si="14"/>
        <v>23.500000000000064</v>
      </c>
      <c r="W364" s="25">
        <f t="shared" si="15"/>
        <v>28.93847837774591</v>
      </c>
    </row>
    <row r="365" spans="21:23" ht="12.75">
      <c r="U365" s="23"/>
      <c r="V365" s="25">
        <f t="shared" si="14"/>
        <v>23.600000000000065</v>
      </c>
      <c r="W365" s="25">
        <f t="shared" si="15"/>
        <v>29.113288830745134</v>
      </c>
    </row>
    <row r="366" spans="21:23" ht="12.75">
      <c r="U366" s="23"/>
      <c r="V366" s="25">
        <f t="shared" si="14"/>
        <v>23.700000000000067</v>
      </c>
      <c r="W366" s="25">
        <f t="shared" si="15"/>
        <v>29.28902010257581</v>
      </c>
    </row>
    <row r="367" spans="21:23" ht="12.75">
      <c r="U367" s="23"/>
      <c r="V367" s="25">
        <f t="shared" si="14"/>
        <v>23.800000000000068</v>
      </c>
      <c r="W367" s="25">
        <f t="shared" si="15"/>
        <v>29.465676280758856</v>
      </c>
    </row>
    <row r="368" spans="21:23" ht="12.75">
      <c r="U368" s="23"/>
      <c r="V368" s="25">
        <f t="shared" si="14"/>
        <v>23.90000000000007</v>
      </c>
      <c r="W368" s="25">
        <f t="shared" si="15"/>
        <v>29.643261467219833</v>
      </c>
    </row>
    <row r="369" spans="21:23" ht="12.75">
      <c r="U369" s="23"/>
      <c r="V369" s="25">
        <f t="shared" si="14"/>
        <v>24.00000000000007</v>
      </c>
      <c r="W369" s="25">
        <f t="shared" si="15"/>
        <v>29.821779778324288</v>
      </c>
    </row>
    <row r="370" spans="21:23" ht="12.75">
      <c r="U370" s="23"/>
      <c r="V370" s="25">
        <f t="shared" si="14"/>
        <v>24.100000000000072</v>
      </c>
      <c r="W370" s="25">
        <f t="shared" si="15"/>
        <v>30.00123534491308</v>
      </c>
    </row>
    <row r="371" spans="21:23" ht="12.75">
      <c r="U371" s="23"/>
      <c r="V371" s="25">
        <f t="shared" si="14"/>
        <v>24.200000000000074</v>
      </c>
      <c r="W371" s="25">
        <f t="shared" si="15"/>
        <v>30.181632312337765</v>
      </c>
    </row>
    <row r="372" spans="21:23" ht="12.75">
      <c r="U372" s="23"/>
      <c r="V372" s="25">
        <f t="shared" si="14"/>
        <v>24.300000000000075</v>
      </c>
      <c r="W372" s="25">
        <f t="shared" si="15"/>
        <v>30.36297484049603</v>
      </c>
    </row>
    <row r="373" spans="21:23" ht="12.75">
      <c r="U373" s="23"/>
      <c r="V373" s="25">
        <f t="shared" si="14"/>
        <v>24.400000000000077</v>
      </c>
      <c r="W373" s="25">
        <f t="shared" si="15"/>
        <v>30.54526710386703</v>
      </c>
    </row>
    <row r="374" spans="21:23" ht="12.75">
      <c r="U374" s="23"/>
      <c r="V374" s="25">
        <f t="shared" si="14"/>
        <v>24.500000000000078</v>
      </c>
      <c r="W374" s="25">
        <f t="shared" si="15"/>
        <v>30.728513291547042</v>
      </c>
    </row>
    <row r="375" spans="21:23" ht="12.75">
      <c r="U375" s="23"/>
      <c r="V375" s="25">
        <f t="shared" si="14"/>
        <v>24.60000000000008</v>
      </c>
      <c r="W375" s="25">
        <f t="shared" si="15"/>
        <v>30.91271760728479</v>
      </c>
    </row>
    <row r="376" spans="21:23" ht="12.75">
      <c r="U376" s="23"/>
      <c r="V376" s="25">
        <f t="shared" si="14"/>
        <v>24.70000000000008</v>
      </c>
      <c r="W376" s="25">
        <f t="shared" si="15"/>
        <v>31.09788426951714</v>
      </c>
    </row>
    <row r="377" spans="21:23" ht="12.75">
      <c r="U377" s="23"/>
      <c r="V377" s="25">
        <f t="shared" si="14"/>
        <v>24.800000000000082</v>
      </c>
      <c r="W377" s="25">
        <f t="shared" si="15"/>
        <v>31.284017511404613</v>
      </c>
    </row>
    <row r="378" ht="12.75">
      <c r="U378" s="23"/>
    </row>
    <row r="379" ht="12.75">
      <c r="U379" s="23"/>
    </row>
    <row r="380" ht="12.75">
      <c r="U380" s="23"/>
    </row>
    <row r="381" ht="12.75">
      <c r="U381" s="23"/>
    </row>
    <row r="382" ht="12.75">
      <c r="U382" s="23"/>
    </row>
    <row r="383" ht="12.75">
      <c r="U383" s="23"/>
    </row>
    <row r="384" ht="12.75">
      <c r="U384" s="23"/>
    </row>
    <row r="385" ht="12.75">
      <c r="U385" s="23"/>
    </row>
    <row r="386" ht="12.75">
      <c r="U386" s="23"/>
    </row>
    <row r="387" ht="12.75">
      <c r="U387" s="23"/>
    </row>
    <row r="388" ht="12.75">
      <c r="U388" s="23"/>
    </row>
    <row r="389" ht="12.75">
      <c r="U389" s="23"/>
    </row>
    <row r="390" ht="12.75">
      <c r="U390" s="23"/>
    </row>
    <row r="391" ht="12.75">
      <c r="U391" s="23"/>
    </row>
    <row r="392" ht="12.75">
      <c r="U392" s="23"/>
    </row>
    <row r="393" ht="12.75">
      <c r="U393" s="23"/>
    </row>
    <row r="394" ht="12.75">
      <c r="U394" s="23"/>
    </row>
    <row r="395" ht="12.75">
      <c r="U395" s="23"/>
    </row>
    <row r="396" ht="12.75">
      <c r="U396" s="23"/>
    </row>
    <row r="397" ht="12.75">
      <c r="U397" s="23"/>
    </row>
    <row r="398" ht="12.75">
      <c r="U398" s="23"/>
    </row>
    <row r="399" ht="12.75">
      <c r="U399" s="23"/>
    </row>
    <row r="400" ht="12.75">
      <c r="U400" s="23"/>
    </row>
    <row r="401" ht="12.75">
      <c r="U401" s="23"/>
    </row>
    <row r="402" ht="12.75">
      <c r="U402" s="23"/>
    </row>
    <row r="403" ht="12.75">
      <c r="U403" s="23"/>
    </row>
    <row r="404" ht="12.75">
      <c r="U404" s="23"/>
    </row>
    <row r="405" ht="12.75">
      <c r="U405" s="23"/>
    </row>
    <row r="406" ht="12.75">
      <c r="U406" s="23"/>
    </row>
    <row r="407" ht="12.75">
      <c r="U407" s="23"/>
    </row>
    <row r="408" ht="12.75">
      <c r="U408" s="23"/>
    </row>
    <row r="409" ht="12.75">
      <c r="U409" s="23"/>
    </row>
    <row r="410" ht="12.75">
      <c r="U410" s="23"/>
    </row>
    <row r="411" ht="12.75">
      <c r="U411" s="23"/>
    </row>
    <row r="412" ht="12.75">
      <c r="U412" s="23"/>
    </row>
    <row r="413" ht="12.75">
      <c r="U413" s="23"/>
    </row>
    <row r="414" ht="12.75">
      <c r="U414" s="23"/>
    </row>
    <row r="415" ht="12.75">
      <c r="U415" s="23"/>
    </row>
    <row r="416" ht="12.75">
      <c r="U416" s="23"/>
    </row>
    <row r="417" ht="12.75">
      <c r="U417" s="23"/>
    </row>
    <row r="418" ht="12.75">
      <c r="U418" s="23"/>
    </row>
    <row r="419" ht="12.75">
      <c r="U419" s="23"/>
    </row>
    <row r="420" ht="12.75">
      <c r="U420" s="23"/>
    </row>
    <row r="421" ht="12.75">
      <c r="U421" s="23"/>
    </row>
    <row r="422" ht="12.75">
      <c r="U422" s="23"/>
    </row>
    <row r="423" ht="12.75">
      <c r="U423" s="23"/>
    </row>
    <row r="424" ht="12.75">
      <c r="U424" s="23"/>
    </row>
    <row r="425" ht="12.75">
      <c r="U425" s="23"/>
    </row>
    <row r="426" ht="12.75">
      <c r="U426" s="23"/>
    </row>
    <row r="427" ht="12.75">
      <c r="U427" s="23"/>
    </row>
    <row r="428" ht="12.75">
      <c r="U428" s="23"/>
    </row>
    <row r="429" ht="12.75">
      <c r="U429" s="23"/>
    </row>
    <row r="430" ht="12.75">
      <c r="U430" s="23"/>
    </row>
    <row r="431" ht="12.75">
      <c r="U431" s="23"/>
    </row>
    <row r="432" ht="12.75">
      <c r="U432" s="23"/>
    </row>
    <row r="433" ht="12.75">
      <c r="U433" s="23"/>
    </row>
    <row r="434" ht="12.75">
      <c r="U434" s="23"/>
    </row>
    <row r="435" ht="12.75">
      <c r="U435" s="23"/>
    </row>
    <row r="436" ht="12.75">
      <c r="U436" s="23"/>
    </row>
    <row r="437" ht="12.75">
      <c r="U437" s="23"/>
    </row>
    <row r="438" ht="12.75">
      <c r="U438" s="23"/>
    </row>
    <row r="439" ht="12.75">
      <c r="U439" s="23"/>
    </row>
    <row r="440" ht="12.75">
      <c r="U440" s="23"/>
    </row>
    <row r="441" ht="12.75">
      <c r="U441" s="23"/>
    </row>
    <row r="442" ht="12.75">
      <c r="U442" s="23"/>
    </row>
    <row r="443" ht="12.75">
      <c r="U443" s="23"/>
    </row>
    <row r="444" ht="12.75">
      <c r="U444" s="23"/>
    </row>
    <row r="445" ht="12.75">
      <c r="U445" s="23"/>
    </row>
    <row r="446" ht="12.75">
      <c r="U446" s="23"/>
    </row>
    <row r="447" ht="12.75">
      <c r="U447" s="23"/>
    </row>
    <row r="448" ht="12.75">
      <c r="U448" s="23"/>
    </row>
    <row r="449" ht="12.75">
      <c r="U449" s="23"/>
    </row>
    <row r="450" ht="12.75">
      <c r="U450" s="23"/>
    </row>
    <row r="451" ht="12.75">
      <c r="U451" s="23"/>
    </row>
    <row r="452" ht="12.75">
      <c r="U452" s="23"/>
    </row>
    <row r="453" ht="12.75">
      <c r="U453" s="23"/>
    </row>
    <row r="454" ht="12.75">
      <c r="U454" s="23"/>
    </row>
    <row r="455" ht="12.75">
      <c r="U455" s="23"/>
    </row>
    <row r="456" ht="12.75">
      <c r="U456" s="23"/>
    </row>
    <row r="457" ht="12.75">
      <c r="U457" s="23"/>
    </row>
    <row r="458" ht="12.75">
      <c r="U458" s="23"/>
    </row>
    <row r="459" ht="12.75">
      <c r="U459" s="23"/>
    </row>
    <row r="460" ht="12.75">
      <c r="U460" s="23"/>
    </row>
    <row r="461" ht="12.75">
      <c r="U461" s="23"/>
    </row>
    <row r="462" ht="12.75">
      <c r="U462" s="23"/>
    </row>
    <row r="463" ht="12.75">
      <c r="U463" s="23"/>
    </row>
    <row r="464" ht="12.75">
      <c r="U464" s="23"/>
    </row>
    <row r="465" ht="12.75">
      <c r="U465" s="23"/>
    </row>
    <row r="466" ht="12.75">
      <c r="U466" s="23"/>
    </row>
    <row r="467" ht="12.75">
      <c r="U467" s="23"/>
    </row>
    <row r="468" ht="12.75">
      <c r="U468" s="23"/>
    </row>
    <row r="469" ht="12.75">
      <c r="U469" s="23"/>
    </row>
    <row r="470" ht="12.75">
      <c r="U470" s="23"/>
    </row>
    <row r="471" ht="12.75">
      <c r="U471" s="23"/>
    </row>
    <row r="472" ht="12.75">
      <c r="U472" s="23"/>
    </row>
    <row r="473" ht="12.75">
      <c r="U473" s="23"/>
    </row>
    <row r="474" ht="12.75">
      <c r="U474" s="23"/>
    </row>
    <row r="475" ht="12.75">
      <c r="U475" s="23"/>
    </row>
    <row r="476" ht="12.75">
      <c r="U476" s="23"/>
    </row>
    <row r="477" ht="12.75">
      <c r="U477" s="23"/>
    </row>
    <row r="478" ht="12.75">
      <c r="U478" s="23"/>
    </row>
    <row r="479" ht="12.75">
      <c r="U479" s="23"/>
    </row>
    <row r="480" ht="12.75">
      <c r="U480" s="23"/>
    </row>
    <row r="481" ht="12.75">
      <c r="U481" s="23"/>
    </row>
    <row r="482" ht="12.75">
      <c r="U482" s="23"/>
    </row>
    <row r="483" ht="12.75">
      <c r="U483" s="23"/>
    </row>
    <row r="484" ht="12.75">
      <c r="U484" s="23"/>
    </row>
    <row r="485" ht="12.75">
      <c r="U485" s="23"/>
    </row>
    <row r="486" ht="12.75">
      <c r="U486" s="23"/>
    </row>
    <row r="487" ht="12.75">
      <c r="U487" s="23"/>
    </row>
    <row r="488" ht="12.75">
      <c r="U488" s="23"/>
    </row>
    <row r="489" ht="12.75">
      <c r="U489" s="23"/>
    </row>
    <row r="490" ht="12.75">
      <c r="U490" s="23"/>
    </row>
    <row r="491" ht="12.75">
      <c r="U491" s="23"/>
    </row>
    <row r="492" ht="12.75">
      <c r="U492" s="23"/>
    </row>
    <row r="493" ht="12.75">
      <c r="U493" s="23"/>
    </row>
    <row r="494" ht="12.75">
      <c r="U494" s="23"/>
    </row>
    <row r="495" ht="12.75">
      <c r="U495" s="23"/>
    </row>
    <row r="496" ht="12.75">
      <c r="U496" s="23"/>
    </row>
    <row r="497" ht="12.75">
      <c r="U497" s="23"/>
    </row>
    <row r="498" ht="12.75">
      <c r="U498" s="23"/>
    </row>
    <row r="499" ht="12.75">
      <c r="U499" s="23"/>
    </row>
    <row r="500" ht="12.75">
      <c r="U500" s="23"/>
    </row>
    <row r="501" ht="12.75">
      <c r="U501" s="23"/>
    </row>
    <row r="502" ht="12.75">
      <c r="U502" s="23"/>
    </row>
  </sheetData>
  <mergeCells count="17">
    <mergeCell ref="C167:D167"/>
    <mergeCell ref="D15:F16"/>
    <mergeCell ref="O15:Q16"/>
    <mergeCell ref="C103:D103"/>
    <mergeCell ref="C104:D104"/>
    <mergeCell ref="D107:E107"/>
    <mergeCell ref="D108:E108"/>
    <mergeCell ref="K15:K16"/>
    <mergeCell ref="C163:D163"/>
    <mergeCell ref="B94:S94"/>
    <mergeCell ref="B2:H2"/>
    <mergeCell ref="B82:R82"/>
    <mergeCell ref="N7:O7"/>
    <mergeCell ref="N8:O8"/>
    <mergeCell ref="I15:I16"/>
    <mergeCell ref="J15:J16"/>
    <mergeCell ref="R15:S15"/>
  </mergeCells>
  <printOptions/>
  <pageMargins left="0.5" right="0.2" top="1.15" bottom="0.71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Zolezzi</dc:creator>
  <cp:keywords/>
  <dc:description/>
  <cp:lastModifiedBy>*</cp:lastModifiedBy>
  <cp:lastPrinted>2008-04-23T16:34:08Z</cp:lastPrinted>
  <dcterms:created xsi:type="dcterms:W3CDTF">2003-10-17T23:30:07Z</dcterms:created>
  <dcterms:modified xsi:type="dcterms:W3CDTF">2009-10-14T14:01:47Z</dcterms:modified>
  <cp:category/>
  <cp:version/>
  <cp:contentType/>
  <cp:contentStatus/>
</cp:coreProperties>
</file>